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firstSheet="9" activeTab="9"/>
  </bookViews>
  <sheets>
    <sheet name="Front page" sheetId="49" r:id="rId1"/>
    <sheet name="PCD template" sheetId="1" r:id="rId2"/>
    <sheet name="PCD reservoirs" sheetId="40" r:id="rId3"/>
    <sheet name="PCD Meters" sheetId="48" r:id="rId4"/>
    <sheet name="PCD lead" sheetId="42" r:id="rId5"/>
    <sheet name="PCD leakage" sheetId="43" r:id="rId6"/>
    <sheet name="PCD Water WINEP Biodiversity" sheetId="44" r:id="rId7"/>
    <sheet name="PCD RWQ" sheetId="45" r:id="rId8"/>
    <sheet name="PCD Vyrnwy" sheetId="46" r:id="rId9"/>
    <sheet name="PCD WINEP Overflows" sheetId="15" r:id="rId10"/>
    <sheet name="PCD WINEP Overflow screens" sheetId="31" r:id="rId11"/>
    <sheet name="PCD Advanced WINEP" sheetId="38" r:id="rId12"/>
    <sheet name="PCD WINEP P" sheetId="26" r:id="rId13"/>
    <sheet name="PCD WINEP sanitary" sheetId="28" r:id="rId14"/>
    <sheet name="PCD WINEP Flow monitors" sheetId="10" r:id="rId15"/>
    <sheet name="PCD WINEP cont WQ monitors" sheetId="32" r:id="rId16"/>
    <sheet name="PCD WINEP MSC BOD DPC" sheetId="8" r:id="rId17"/>
    <sheet name="PCD WINEP D'hulme 6 BOD" sheetId="36" r:id="rId18"/>
    <sheet name="PCD WINEP Wigan&amp;Skem" sheetId="37" r:id="rId19"/>
    <sheet name="PCD Ww SD" sheetId="14" r:id="rId20"/>
    <sheet name="PCD rainwater mgmt" sheetId="21" r:id="rId21"/>
    <sheet name="PCD Bio WINEP" sheetId="33" r:id="rId22"/>
    <sheet name="PCD Bio screens" sheetId="30" r:id="rId23"/>
    <sheet name="PCD net zero" sheetId="47" r:id="rId24"/>
  </sheets>
  <calcPr calcId="191029" calcMode="manual"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29" i="48" l="1"/>
  <c r="C28" i="48"/>
  <c r="C27" i="48"/>
  <c r="D24" i="48"/>
  <c r="C18" i="48"/>
  <c r="D13" i="48"/>
  <c r="D12" i="48"/>
  <c r="L11" i="48"/>
  <c r="K36" i="48"/>
  <c r="H10" i="48"/>
  <c r="I10" i="48"/>
  <c r="J10" i="48"/>
  <c r="K10" i="48"/>
  <c r="K35" i="48"/>
  <c r="L34" i="48"/>
  <c r="E36" i="48"/>
  <c r="G35" i="48"/>
  <c r="H36" i="48"/>
  <c r="H35" i="48"/>
  <c r="I36" i="48"/>
  <c r="D27" i="48"/>
  <c r="E35" i="48"/>
  <c r="I35" i="48"/>
  <c r="F36" i="48"/>
  <c r="J36" i="48"/>
  <c r="F35" i="48"/>
  <c r="J35" i="48"/>
  <c r="G36" i="48"/>
  <c r="G27" i="48"/>
  <c r="F40" i="48"/>
  <c r="H27" i="48"/>
  <c r="G40" i="48"/>
  <c r="D28" i="48"/>
  <c r="F27" i="48"/>
  <c r="E40" i="48"/>
  <c r="E27" i="48"/>
  <c r="D40" i="48"/>
  <c r="E28" i="48"/>
  <c r="D41" i="48"/>
  <c r="H28" i="48"/>
  <c r="G41" i="48"/>
  <c r="G28" i="48"/>
  <c r="F41" i="48"/>
  <c r="F28" i="48"/>
  <c r="E41" i="48"/>
  <c r="D29" i="48"/>
  <c r="H40" i="48"/>
  <c r="G29" i="48"/>
  <c r="F42" i="48"/>
  <c r="F43" i="48"/>
  <c r="F29" i="48"/>
  <c r="E42" i="48"/>
  <c r="E43" i="48"/>
  <c r="E29" i="48"/>
  <c r="D42" i="48"/>
  <c r="H29" i="48"/>
  <c r="G42" i="48"/>
  <c r="G43" i="48"/>
  <c r="H41" i="48"/>
  <c r="H42" i="48"/>
  <c r="H43" i="48"/>
  <c r="D43" i="48"/>
  <c r="L11" i="37"/>
  <c r="C18" i="45"/>
  <c r="L11" i="14"/>
  <c r="C29" i="47"/>
  <c r="C28" i="47"/>
  <c r="C27" i="47"/>
  <c r="C18" i="47"/>
  <c r="D13" i="47"/>
  <c r="D12" i="47"/>
  <c r="L11" i="47"/>
  <c r="H10" i="47"/>
  <c r="I10" i="47"/>
  <c r="J10" i="47"/>
  <c r="K10" i="47"/>
  <c r="K36" i="47"/>
  <c r="G36" i="47"/>
  <c r="J35" i="47"/>
  <c r="F35" i="47"/>
  <c r="J36" i="47"/>
  <c r="F36" i="47"/>
  <c r="I35" i="47"/>
  <c r="E35" i="47"/>
  <c r="I36" i="47"/>
  <c r="E36" i="47"/>
  <c r="H35" i="47"/>
  <c r="L34" i="47"/>
  <c r="H36" i="47"/>
  <c r="K35" i="47"/>
  <c r="G35" i="47"/>
  <c r="D27" i="47"/>
  <c r="E27" i="47"/>
  <c r="D40" i="47"/>
  <c r="H27" i="47"/>
  <c r="G40" i="47"/>
  <c r="G27" i="47"/>
  <c r="F40" i="47"/>
  <c r="D28" i="47"/>
  <c r="F27" i="47"/>
  <c r="E40" i="47"/>
  <c r="G28" i="47"/>
  <c r="F41" i="47"/>
  <c r="F28" i="47"/>
  <c r="E41" i="47"/>
  <c r="E28" i="47"/>
  <c r="D41" i="47"/>
  <c r="H28" i="47"/>
  <c r="G41" i="47"/>
  <c r="D29" i="47"/>
  <c r="H40" i="47"/>
  <c r="H41" i="47"/>
  <c r="E29" i="47"/>
  <c r="D42" i="47"/>
  <c r="H29" i="47"/>
  <c r="G42" i="47"/>
  <c r="G43" i="47"/>
  <c r="G29" i="47"/>
  <c r="F42" i="47"/>
  <c r="F43" i="47"/>
  <c r="F29" i="47"/>
  <c r="E42" i="47"/>
  <c r="E43" i="47"/>
  <c r="H42" i="47"/>
  <c r="H43" i="47"/>
  <c r="D43" i="47"/>
  <c r="C29" i="46"/>
  <c r="C28" i="46"/>
  <c r="C27" i="46"/>
  <c r="D24" i="46"/>
  <c r="C18" i="46"/>
  <c r="D13" i="46"/>
  <c r="D12" i="46"/>
  <c r="L11" i="46"/>
  <c r="K36" i="46"/>
  <c r="H10" i="46"/>
  <c r="I10" i="46"/>
  <c r="J10" i="46"/>
  <c r="K10" i="46"/>
  <c r="H66" i="45"/>
  <c r="G66" i="45"/>
  <c r="F66" i="45"/>
  <c r="E66" i="45"/>
  <c r="D66" i="45"/>
  <c r="L11" i="45"/>
  <c r="H36" i="45"/>
  <c r="C29" i="45"/>
  <c r="C28" i="45"/>
  <c r="C27" i="45"/>
  <c r="D24" i="45"/>
  <c r="D13" i="45"/>
  <c r="D12" i="45"/>
  <c r="J36" i="45"/>
  <c r="H10" i="45"/>
  <c r="I10" i="45"/>
  <c r="J10" i="45"/>
  <c r="K10" i="45"/>
  <c r="C29" i="44"/>
  <c r="C28" i="44"/>
  <c r="C27" i="44"/>
  <c r="D24" i="44"/>
  <c r="C18" i="44"/>
  <c r="D13" i="44"/>
  <c r="D12" i="44"/>
  <c r="L11" i="44"/>
  <c r="H36" i="44"/>
  <c r="H10" i="44"/>
  <c r="I10" i="44"/>
  <c r="J10" i="44"/>
  <c r="K10" i="44"/>
  <c r="C29" i="43"/>
  <c r="C28" i="43"/>
  <c r="C27" i="43"/>
  <c r="D24" i="43"/>
  <c r="C18" i="43"/>
  <c r="D13" i="43"/>
  <c r="D12" i="43"/>
  <c r="L11" i="43"/>
  <c r="J36" i="43"/>
  <c r="H10" i="43"/>
  <c r="I10" i="43"/>
  <c r="J10" i="43"/>
  <c r="K10" i="43"/>
  <c r="C29" i="42"/>
  <c r="C28" i="42"/>
  <c r="C27" i="42"/>
  <c r="D24" i="42"/>
  <c r="C18" i="42"/>
  <c r="D13" i="42"/>
  <c r="D12" i="42"/>
  <c r="L11" i="42"/>
  <c r="H10" i="42"/>
  <c r="I10" i="42"/>
  <c r="J10" i="42"/>
  <c r="K10" i="42"/>
  <c r="C29" i="40"/>
  <c r="C28" i="40"/>
  <c r="C27" i="40"/>
  <c r="D24" i="40"/>
  <c r="C18" i="40"/>
  <c r="D13" i="40"/>
  <c r="D12" i="40"/>
  <c r="L11" i="40"/>
  <c r="D27" i="40"/>
  <c r="H36" i="40"/>
  <c r="H10" i="40"/>
  <c r="I10" i="40"/>
  <c r="J10" i="40"/>
  <c r="K10" i="40"/>
  <c r="L34" i="43"/>
  <c r="D27" i="43"/>
  <c r="F35" i="43"/>
  <c r="K35" i="43"/>
  <c r="I36" i="43"/>
  <c r="J35" i="43"/>
  <c r="H36" i="43"/>
  <c r="G35" i="43"/>
  <c r="E36" i="43"/>
  <c r="K36" i="43"/>
  <c r="G35" i="45"/>
  <c r="H35" i="43"/>
  <c r="G36" i="43"/>
  <c r="K35" i="45"/>
  <c r="H35" i="44"/>
  <c r="E36" i="44"/>
  <c r="L34" i="44"/>
  <c r="I36" i="44"/>
  <c r="D28" i="43"/>
  <c r="F27" i="43"/>
  <c r="E40" i="43"/>
  <c r="E27" i="43"/>
  <c r="D40" i="43"/>
  <c r="G27" i="43"/>
  <c r="F40" i="43"/>
  <c r="H27" i="43"/>
  <c r="G40" i="43"/>
  <c r="G35" i="40"/>
  <c r="K35" i="40"/>
  <c r="I36" i="40"/>
  <c r="H36" i="42"/>
  <c r="K35" i="42"/>
  <c r="G35" i="42"/>
  <c r="K36" i="42"/>
  <c r="G36" i="42"/>
  <c r="J35" i="42"/>
  <c r="F35" i="42"/>
  <c r="E35" i="42"/>
  <c r="F36" i="42"/>
  <c r="L34" i="40"/>
  <c r="H35" i="40"/>
  <c r="E36" i="40"/>
  <c r="J36" i="40"/>
  <c r="H35" i="42"/>
  <c r="I36" i="42"/>
  <c r="D29" i="43"/>
  <c r="D27" i="45"/>
  <c r="E35" i="40"/>
  <c r="I35" i="40"/>
  <c r="F36" i="40"/>
  <c r="K36" i="40"/>
  <c r="I35" i="42"/>
  <c r="J36" i="42"/>
  <c r="F35" i="40"/>
  <c r="J35" i="40"/>
  <c r="G36" i="40"/>
  <c r="L34" i="42"/>
  <c r="E36" i="42"/>
  <c r="F35" i="45"/>
  <c r="J35" i="45"/>
  <c r="G36" i="45"/>
  <c r="K36" i="45"/>
  <c r="D27" i="46"/>
  <c r="G35" i="46"/>
  <c r="K35" i="46"/>
  <c r="H36" i="46"/>
  <c r="E35" i="44"/>
  <c r="I35" i="44"/>
  <c r="F36" i="44"/>
  <c r="J36" i="44"/>
  <c r="L34" i="46"/>
  <c r="H35" i="46"/>
  <c r="E36" i="46"/>
  <c r="I36" i="46"/>
  <c r="F35" i="44"/>
  <c r="J35" i="44"/>
  <c r="G36" i="44"/>
  <c r="K36" i="44"/>
  <c r="L34" i="45"/>
  <c r="H35" i="45"/>
  <c r="E36" i="45"/>
  <c r="I36" i="45"/>
  <c r="E35" i="46"/>
  <c r="I35" i="46"/>
  <c r="F36" i="46"/>
  <c r="J36" i="46"/>
  <c r="D27" i="42"/>
  <c r="E35" i="43"/>
  <c r="I35" i="43"/>
  <c r="F36" i="43"/>
  <c r="D27" i="44"/>
  <c r="G35" i="44"/>
  <c r="K35" i="44"/>
  <c r="E35" i="45"/>
  <c r="I35" i="45"/>
  <c r="F36" i="45"/>
  <c r="F35" i="46"/>
  <c r="J35" i="46"/>
  <c r="G36" i="46"/>
  <c r="H27" i="44"/>
  <c r="G40" i="44"/>
  <c r="G27" i="44"/>
  <c r="F40" i="44"/>
  <c r="D28" i="44"/>
  <c r="F27" i="44"/>
  <c r="E40" i="44"/>
  <c r="E27" i="44"/>
  <c r="D40" i="44"/>
  <c r="H27" i="42"/>
  <c r="G40" i="42"/>
  <c r="G27" i="42"/>
  <c r="F40" i="42"/>
  <c r="F27" i="42"/>
  <c r="E40" i="42"/>
  <c r="E27" i="42"/>
  <c r="D40" i="42"/>
  <c r="D28" i="42"/>
  <c r="D28" i="45"/>
  <c r="F27" i="45"/>
  <c r="E40" i="45"/>
  <c r="E27" i="45"/>
  <c r="D40" i="45"/>
  <c r="H27" i="45"/>
  <c r="G40" i="45"/>
  <c r="G27" i="45"/>
  <c r="F40" i="45"/>
  <c r="H40" i="43"/>
  <c r="G27" i="46"/>
  <c r="F40" i="46"/>
  <c r="D28" i="46"/>
  <c r="F27" i="46"/>
  <c r="E40" i="46"/>
  <c r="E27" i="46"/>
  <c r="D40" i="46"/>
  <c r="H27" i="46"/>
  <c r="G40" i="46"/>
  <c r="F29" i="43"/>
  <c r="E42" i="43"/>
  <c r="E29" i="43"/>
  <c r="D42" i="43"/>
  <c r="H29" i="43"/>
  <c r="G42" i="43"/>
  <c r="G29" i="43"/>
  <c r="F42" i="43"/>
  <c r="H28" i="43"/>
  <c r="G41" i="43"/>
  <c r="G28" i="43"/>
  <c r="F41" i="43"/>
  <c r="F43" i="43"/>
  <c r="F28" i="43"/>
  <c r="E41" i="43"/>
  <c r="E43" i="43"/>
  <c r="E28" i="43"/>
  <c r="D41" i="43"/>
  <c r="D43" i="43"/>
  <c r="G43" i="43"/>
  <c r="H41" i="43"/>
  <c r="H40" i="46"/>
  <c r="H40" i="45"/>
  <c r="F28" i="44"/>
  <c r="E41" i="44"/>
  <c r="E28" i="44"/>
  <c r="D41" i="44"/>
  <c r="H28" i="44"/>
  <c r="G41" i="44"/>
  <c r="G28" i="44"/>
  <c r="F41" i="44"/>
  <c r="D29" i="44"/>
  <c r="H42" i="43"/>
  <c r="H43" i="43"/>
  <c r="F28" i="42"/>
  <c r="E41" i="42"/>
  <c r="E28" i="42"/>
  <c r="D41" i="42"/>
  <c r="H28" i="42"/>
  <c r="G41" i="42"/>
  <c r="G28" i="42"/>
  <c r="F41" i="42"/>
  <c r="D29" i="42"/>
  <c r="E28" i="46"/>
  <c r="D41" i="46"/>
  <c r="H28" i="46"/>
  <c r="G41" i="46"/>
  <c r="G28" i="46"/>
  <c r="F41" i="46"/>
  <c r="F28" i="46"/>
  <c r="E41" i="46"/>
  <c r="D29" i="46"/>
  <c r="H28" i="45"/>
  <c r="G41" i="45"/>
  <c r="G28" i="45"/>
  <c r="F41" i="45"/>
  <c r="F28" i="45"/>
  <c r="E41" i="45"/>
  <c r="E28" i="45"/>
  <c r="D41" i="45"/>
  <c r="D29" i="45"/>
  <c r="H40" i="42"/>
  <c r="H40" i="44"/>
  <c r="H41" i="46"/>
  <c r="H41" i="42"/>
  <c r="F29" i="46"/>
  <c r="E42" i="46"/>
  <c r="E43" i="46"/>
  <c r="G29" i="46"/>
  <c r="F42" i="46"/>
  <c r="F43" i="46"/>
  <c r="E29" i="46"/>
  <c r="D42" i="46"/>
  <c r="H29" i="46"/>
  <c r="G42" i="46"/>
  <c r="H42" i="46"/>
  <c r="H43" i="46"/>
  <c r="G43" i="46"/>
  <c r="H29" i="44"/>
  <c r="G42" i="44"/>
  <c r="G43" i="44"/>
  <c r="G29" i="44"/>
  <c r="F42" i="44"/>
  <c r="F43" i="44"/>
  <c r="F29" i="44"/>
  <c r="E42" i="44"/>
  <c r="E43" i="44"/>
  <c r="E29" i="44"/>
  <c r="D42" i="44"/>
  <c r="H29" i="42"/>
  <c r="G42" i="42"/>
  <c r="G43" i="42"/>
  <c r="G29" i="42"/>
  <c r="F42" i="42"/>
  <c r="F43" i="42"/>
  <c r="F29" i="42"/>
  <c r="E42" i="42"/>
  <c r="E43" i="42"/>
  <c r="E29" i="42"/>
  <c r="D42" i="42"/>
  <c r="F29" i="45"/>
  <c r="E42" i="45"/>
  <c r="E43" i="45"/>
  <c r="E29" i="45"/>
  <c r="D42" i="45"/>
  <c r="H29" i="45"/>
  <c r="G42" i="45"/>
  <c r="G43" i="45"/>
  <c r="G29" i="45"/>
  <c r="F42" i="45"/>
  <c r="F43" i="45"/>
  <c r="H41" i="45"/>
  <c r="D43" i="45"/>
  <c r="H41" i="44"/>
  <c r="H42" i="42"/>
  <c r="H43" i="42"/>
  <c r="D43" i="42"/>
  <c r="H42" i="45"/>
  <c r="H43" i="45"/>
  <c r="H42" i="44"/>
  <c r="H43" i="44"/>
  <c r="D43" i="44"/>
  <c r="D43" i="46"/>
  <c r="D12" i="30"/>
  <c r="L11" i="10"/>
  <c r="K36" i="38"/>
  <c r="J36" i="38"/>
  <c r="I36" i="38"/>
  <c r="H36" i="38"/>
  <c r="G36" i="38"/>
  <c r="F36" i="38"/>
  <c r="E36" i="38"/>
  <c r="K36" i="10"/>
  <c r="J36" i="10"/>
  <c r="I36" i="10"/>
  <c r="H36" i="10"/>
  <c r="G36" i="10"/>
  <c r="F36" i="10"/>
  <c r="E36" i="10"/>
  <c r="K36" i="14"/>
  <c r="J36" i="14"/>
  <c r="I36" i="14"/>
  <c r="H36" i="14"/>
  <c r="G36" i="14"/>
  <c r="F36" i="14"/>
  <c r="E36" i="14"/>
  <c r="H36" i="33"/>
  <c r="G36" i="33"/>
  <c r="F36" i="33"/>
  <c r="E36" i="33"/>
  <c r="K36" i="30"/>
  <c r="J36" i="30"/>
  <c r="I36" i="30"/>
  <c r="H36" i="30"/>
  <c r="G36" i="30"/>
  <c r="F36" i="30"/>
  <c r="E36" i="30"/>
  <c r="C29" i="38"/>
  <c r="C28" i="38"/>
  <c r="C27" i="38"/>
  <c r="D24" i="38"/>
  <c r="C18" i="38"/>
  <c r="D13" i="38"/>
  <c r="D12" i="38"/>
  <c r="H10" i="38"/>
  <c r="I10" i="38"/>
  <c r="J10" i="38"/>
  <c r="K10" i="38"/>
  <c r="E35" i="38"/>
  <c r="I35" i="38"/>
  <c r="F35" i="38"/>
  <c r="J35" i="38"/>
  <c r="D27" i="38"/>
  <c r="G35" i="38"/>
  <c r="K35" i="38"/>
  <c r="L34" i="38"/>
  <c r="H35" i="38"/>
  <c r="E27" i="38"/>
  <c r="D40" i="38"/>
  <c r="H27" i="38"/>
  <c r="G40" i="38"/>
  <c r="G27" i="38"/>
  <c r="F40" i="38"/>
  <c r="D28" i="38"/>
  <c r="F27" i="38"/>
  <c r="E40" i="38"/>
  <c r="G28" i="38"/>
  <c r="F41" i="38"/>
  <c r="F28" i="38"/>
  <c r="E41" i="38"/>
  <c r="E28" i="38"/>
  <c r="D41" i="38"/>
  <c r="H28" i="38"/>
  <c r="G41" i="38"/>
  <c r="D29" i="38"/>
  <c r="H40" i="38"/>
  <c r="C29" i="37"/>
  <c r="C28" i="37"/>
  <c r="C27" i="37"/>
  <c r="D24" i="37"/>
  <c r="C18" i="37"/>
  <c r="D13" i="37"/>
  <c r="D12" i="37"/>
  <c r="J36" i="37"/>
  <c r="H10" i="37"/>
  <c r="I10" i="37"/>
  <c r="J10" i="37"/>
  <c r="K10" i="37"/>
  <c r="C29" i="36"/>
  <c r="C28" i="36"/>
  <c r="C27" i="36"/>
  <c r="D24" i="36"/>
  <c r="C18" i="36"/>
  <c r="D13" i="36"/>
  <c r="D12" i="36"/>
  <c r="L11" i="36"/>
  <c r="H36" i="36"/>
  <c r="H10" i="36"/>
  <c r="I10" i="36"/>
  <c r="J10" i="36"/>
  <c r="K10" i="36"/>
  <c r="C29" i="33"/>
  <c r="C28" i="33"/>
  <c r="C27" i="33"/>
  <c r="D24" i="33"/>
  <c r="C18" i="33"/>
  <c r="D13" i="33"/>
  <c r="H10" i="33"/>
  <c r="I10" i="33"/>
  <c r="J10" i="33"/>
  <c r="K10" i="33"/>
  <c r="F36" i="37"/>
  <c r="H36" i="37"/>
  <c r="K36" i="36"/>
  <c r="G36" i="36"/>
  <c r="J36" i="36"/>
  <c r="F36" i="36"/>
  <c r="I36" i="36"/>
  <c r="E36" i="36"/>
  <c r="H41" i="38"/>
  <c r="E29" i="38"/>
  <c r="D42" i="38"/>
  <c r="D43" i="38"/>
  <c r="H29" i="38"/>
  <c r="G42" i="38"/>
  <c r="G43" i="38"/>
  <c r="G29" i="38"/>
  <c r="F42" i="38"/>
  <c r="F43" i="38"/>
  <c r="F29" i="38"/>
  <c r="E42" i="38"/>
  <c r="E43" i="38"/>
  <c r="F35" i="36"/>
  <c r="J35" i="36"/>
  <c r="L34" i="37"/>
  <c r="H35" i="37"/>
  <c r="I35" i="37"/>
  <c r="F35" i="37"/>
  <c r="J35" i="37"/>
  <c r="D27" i="36"/>
  <c r="F27" i="36"/>
  <c r="L34" i="36"/>
  <c r="E40" i="36"/>
  <c r="E27" i="36"/>
  <c r="D40" i="36"/>
  <c r="G27" i="36"/>
  <c r="F40" i="36"/>
  <c r="H27" i="36"/>
  <c r="G40" i="36"/>
  <c r="H40" i="36"/>
  <c r="G35" i="36"/>
  <c r="K35" i="36"/>
  <c r="H35" i="36"/>
  <c r="E35" i="36"/>
  <c r="I35" i="36"/>
  <c r="D28" i="36"/>
  <c r="F28" i="36"/>
  <c r="E41" i="36"/>
  <c r="G35" i="33"/>
  <c r="L34" i="33"/>
  <c r="H35" i="33"/>
  <c r="E35" i="33"/>
  <c r="F35" i="33"/>
  <c r="H42" i="38"/>
  <c r="H43" i="38"/>
  <c r="H28" i="36"/>
  <c r="C29" i="32"/>
  <c r="C28" i="32"/>
  <c r="C27" i="32"/>
  <c r="D24" i="32"/>
  <c r="C18" i="32"/>
  <c r="D13" i="32"/>
  <c r="D12" i="32"/>
  <c r="L11" i="32"/>
  <c r="H10" i="32"/>
  <c r="I10" i="32"/>
  <c r="J10" i="32"/>
  <c r="K10" i="32"/>
  <c r="I36" i="32"/>
  <c r="E36" i="32"/>
  <c r="F36" i="32"/>
  <c r="H36" i="32"/>
  <c r="K36" i="32"/>
  <c r="G36" i="32"/>
  <c r="J36" i="32"/>
  <c r="K35" i="32"/>
  <c r="G35" i="32"/>
  <c r="D27" i="32"/>
  <c r="L34" i="32"/>
  <c r="H35" i="32"/>
  <c r="E35" i="32"/>
  <c r="I35" i="32"/>
  <c r="F35" i="32"/>
  <c r="J35" i="32"/>
  <c r="G27" i="32"/>
  <c r="F40" i="32"/>
  <c r="D28" i="32"/>
  <c r="F27" i="32"/>
  <c r="E40" i="32"/>
  <c r="E27" i="32"/>
  <c r="D40" i="32"/>
  <c r="H27" i="32"/>
  <c r="G40" i="32"/>
  <c r="H40" i="32"/>
  <c r="E28" i="32"/>
  <c r="D41" i="32"/>
  <c r="H28" i="32"/>
  <c r="G41" i="32"/>
  <c r="G28" i="32"/>
  <c r="F41" i="32"/>
  <c r="F28" i="32"/>
  <c r="E41" i="32"/>
  <c r="D29" i="32"/>
  <c r="H41" i="32"/>
  <c r="G29" i="32"/>
  <c r="F42" i="32"/>
  <c r="F43" i="32"/>
  <c r="F29" i="32"/>
  <c r="E42" i="32"/>
  <c r="E43" i="32"/>
  <c r="H29" i="32"/>
  <c r="G42" i="32"/>
  <c r="G43" i="32"/>
  <c r="E29" i="32"/>
  <c r="D42" i="32"/>
  <c r="D43" i="32"/>
  <c r="H42" i="32"/>
  <c r="H43" i="32"/>
  <c r="C29" i="31"/>
  <c r="C28" i="31"/>
  <c r="C27" i="31"/>
  <c r="D24" i="31"/>
  <c r="C18" i="31"/>
  <c r="D13" i="31"/>
  <c r="D12" i="31"/>
  <c r="L11" i="31"/>
  <c r="H10" i="31"/>
  <c r="I10" i="31"/>
  <c r="J10" i="31"/>
  <c r="K10" i="31"/>
  <c r="K36" i="31"/>
  <c r="G36" i="31"/>
  <c r="E36" i="31"/>
  <c r="H36" i="31"/>
  <c r="J36" i="31"/>
  <c r="F36" i="31"/>
  <c r="I36" i="31"/>
  <c r="H35" i="31"/>
  <c r="L34" i="31"/>
  <c r="J35" i="31"/>
  <c r="F35" i="31"/>
  <c r="K35" i="31"/>
  <c r="G35" i="31"/>
  <c r="E35" i="31"/>
  <c r="I35" i="31"/>
  <c r="D27" i="31"/>
  <c r="L4" i="1"/>
  <c r="L32" i="1"/>
  <c r="D5" i="1"/>
  <c r="D6" i="1"/>
  <c r="D20" i="1"/>
  <c r="F20" i="1"/>
  <c r="N32" i="1"/>
  <c r="E33" i="1"/>
  <c r="F33" i="1"/>
  <c r="G33" i="1"/>
  <c r="H33" i="1"/>
  <c r="I33" i="1"/>
  <c r="J33" i="1"/>
  <c r="K33" i="1"/>
  <c r="D21" i="1"/>
  <c r="F21" i="1"/>
  <c r="N33" i="1"/>
  <c r="E34" i="1"/>
  <c r="F34" i="1"/>
  <c r="G34" i="1"/>
  <c r="H34" i="1"/>
  <c r="I34" i="1"/>
  <c r="J34" i="1"/>
  <c r="K34" i="1"/>
  <c r="D22" i="1"/>
  <c r="F22" i="1"/>
  <c r="N34" i="1"/>
  <c r="N35" i="1"/>
  <c r="L38" i="1"/>
  <c r="N38" i="1"/>
  <c r="E39" i="1"/>
  <c r="F39" i="1"/>
  <c r="G39" i="1"/>
  <c r="H39" i="1"/>
  <c r="I39" i="1"/>
  <c r="J39" i="1"/>
  <c r="K39" i="1"/>
  <c r="N39" i="1"/>
  <c r="E40" i="1"/>
  <c r="F40" i="1"/>
  <c r="G40" i="1"/>
  <c r="H40" i="1"/>
  <c r="I40" i="1"/>
  <c r="J40" i="1"/>
  <c r="K40" i="1"/>
  <c r="N40" i="1"/>
  <c r="N41" i="1"/>
  <c r="L44" i="1"/>
  <c r="N44" i="1"/>
  <c r="E45" i="1"/>
  <c r="F45" i="1"/>
  <c r="G45" i="1"/>
  <c r="H45" i="1"/>
  <c r="I45" i="1"/>
  <c r="J45" i="1"/>
  <c r="K45" i="1"/>
  <c r="N45" i="1"/>
  <c r="E46" i="1"/>
  <c r="F46" i="1"/>
  <c r="G46" i="1"/>
  <c r="H46" i="1"/>
  <c r="I46" i="1"/>
  <c r="J46" i="1"/>
  <c r="K46" i="1"/>
  <c r="N46" i="1"/>
  <c r="N47" i="1"/>
  <c r="L50" i="1"/>
  <c r="N50" i="1"/>
  <c r="E51" i="1"/>
  <c r="F51" i="1"/>
  <c r="G51" i="1"/>
  <c r="H51" i="1"/>
  <c r="I51" i="1"/>
  <c r="J51" i="1"/>
  <c r="K51" i="1"/>
  <c r="N51" i="1"/>
  <c r="E52" i="1"/>
  <c r="F52" i="1"/>
  <c r="G52" i="1"/>
  <c r="H52" i="1"/>
  <c r="I52" i="1"/>
  <c r="J52" i="1"/>
  <c r="K52" i="1"/>
  <c r="N52" i="1"/>
  <c r="N53" i="1"/>
  <c r="L56" i="1"/>
  <c r="N56" i="1"/>
  <c r="E57" i="1"/>
  <c r="F57" i="1"/>
  <c r="G57" i="1"/>
  <c r="H57" i="1"/>
  <c r="I57" i="1"/>
  <c r="J57" i="1"/>
  <c r="K57" i="1"/>
  <c r="N57" i="1"/>
  <c r="E58" i="1"/>
  <c r="F58" i="1"/>
  <c r="G58" i="1"/>
  <c r="H58" i="1"/>
  <c r="I58" i="1"/>
  <c r="J58" i="1"/>
  <c r="K58" i="1"/>
  <c r="N58" i="1"/>
  <c r="N59" i="1"/>
  <c r="L62" i="1"/>
  <c r="N62" i="1"/>
  <c r="E63" i="1"/>
  <c r="F63" i="1"/>
  <c r="G63" i="1"/>
  <c r="H63" i="1"/>
  <c r="I63" i="1"/>
  <c r="J63" i="1"/>
  <c r="K63" i="1"/>
  <c r="N63" i="1"/>
  <c r="E64" i="1"/>
  <c r="F64" i="1"/>
  <c r="G64" i="1"/>
  <c r="H64" i="1"/>
  <c r="I64" i="1"/>
  <c r="J64" i="1"/>
  <c r="K64" i="1"/>
  <c r="N64" i="1"/>
  <c r="N65" i="1"/>
  <c r="E28" i="1"/>
  <c r="F28" i="1"/>
  <c r="G28" i="1"/>
  <c r="H28" i="1"/>
  <c r="I28" i="1"/>
  <c r="J28" i="1"/>
  <c r="K28" i="1"/>
  <c r="N28" i="1"/>
  <c r="E27" i="1"/>
  <c r="F27" i="1"/>
  <c r="G27" i="1"/>
  <c r="H27" i="1"/>
  <c r="I27" i="1"/>
  <c r="J27" i="1"/>
  <c r="K27" i="1"/>
  <c r="N27" i="1"/>
  <c r="L26" i="1"/>
  <c r="N26" i="1"/>
  <c r="G27" i="31"/>
  <c r="F40" i="31"/>
  <c r="E27" i="31"/>
  <c r="D40" i="31"/>
  <c r="D28" i="31"/>
  <c r="F27" i="31"/>
  <c r="E40" i="31"/>
  <c r="H27" i="31"/>
  <c r="G40" i="31"/>
  <c r="E28" i="31"/>
  <c r="D41" i="31"/>
  <c r="G28" i="31"/>
  <c r="F41" i="31"/>
  <c r="F28" i="31"/>
  <c r="E41" i="31"/>
  <c r="H28" i="31"/>
  <c r="G41" i="31"/>
  <c r="D29" i="31"/>
  <c r="H40" i="31"/>
  <c r="H41" i="31"/>
  <c r="G29" i="31"/>
  <c r="F42" i="31"/>
  <c r="F43" i="31"/>
  <c r="E29" i="31"/>
  <c r="D42" i="31"/>
  <c r="H29" i="31"/>
  <c r="G42" i="31"/>
  <c r="G43" i="31"/>
  <c r="F29" i="31"/>
  <c r="E42" i="31"/>
  <c r="E43" i="31"/>
  <c r="H42" i="31"/>
  <c r="H43" i="31"/>
  <c r="D43" i="31"/>
  <c r="L34" i="10"/>
  <c r="L34" i="14"/>
  <c r="L34" i="30"/>
  <c r="K35" i="10"/>
  <c r="J35" i="10"/>
  <c r="I35" i="10"/>
  <c r="H35" i="10"/>
  <c r="G35" i="10"/>
  <c r="F35" i="10"/>
  <c r="E35" i="10"/>
  <c r="K35" i="14"/>
  <c r="J35" i="14"/>
  <c r="I35" i="14"/>
  <c r="H35" i="14"/>
  <c r="G35" i="14"/>
  <c r="F35" i="14"/>
  <c r="E35" i="14"/>
  <c r="K35" i="30"/>
  <c r="J35" i="30"/>
  <c r="I35" i="30"/>
  <c r="H35" i="30"/>
  <c r="G35" i="30"/>
  <c r="F35" i="30"/>
  <c r="E35" i="30"/>
  <c r="C29" i="30"/>
  <c r="C28" i="30"/>
  <c r="C27" i="30"/>
  <c r="D24" i="30"/>
  <c r="C18" i="30"/>
  <c r="H10" i="30"/>
  <c r="I10" i="30"/>
  <c r="J10" i="30"/>
  <c r="K10" i="30"/>
  <c r="C29" i="28"/>
  <c r="C28" i="28"/>
  <c r="C27" i="28"/>
  <c r="D24" i="28"/>
  <c r="C18" i="28"/>
  <c r="D13" i="28"/>
  <c r="D12" i="28"/>
  <c r="L11" i="28"/>
  <c r="H10" i="28"/>
  <c r="I10" i="28"/>
  <c r="J10" i="28"/>
  <c r="K10" i="28"/>
  <c r="J36" i="28"/>
  <c r="F36" i="28"/>
  <c r="I36" i="28"/>
  <c r="E36" i="28"/>
  <c r="H36" i="28"/>
  <c r="K36" i="28"/>
  <c r="G36" i="28"/>
  <c r="L34" i="28"/>
  <c r="H35" i="28"/>
  <c r="G35" i="28"/>
  <c r="E35" i="28"/>
  <c r="K35" i="28"/>
  <c r="J35" i="28"/>
  <c r="F35" i="28"/>
  <c r="I35" i="28"/>
  <c r="D12" i="26"/>
  <c r="C29" i="26"/>
  <c r="C28" i="26"/>
  <c r="C27" i="26"/>
  <c r="D24" i="26"/>
  <c r="C18" i="26"/>
  <c r="D13" i="26"/>
  <c r="L11" i="26"/>
  <c r="H35" i="26"/>
  <c r="H10" i="26"/>
  <c r="I10" i="26"/>
  <c r="J10" i="26"/>
  <c r="K10" i="26"/>
  <c r="I35" i="26"/>
  <c r="K35" i="26"/>
  <c r="J35" i="26"/>
  <c r="D27" i="26"/>
  <c r="D28" i="26"/>
  <c r="F28" i="26"/>
  <c r="E35" i="26"/>
  <c r="F35" i="26"/>
  <c r="G35" i="26"/>
  <c r="E41" i="26"/>
  <c r="D29" i="26"/>
  <c r="E29" i="26"/>
  <c r="E36" i="26"/>
  <c r="F36" i="26"/>
  <c r="G36" i="26"/>
  <c r="H36" i="26"/>
  <c r="I36" i="26"/>
  <c r="J36" i="26"/>
  <c r="K36" i="26"/>
  <c r="D42" i="26"/>
  <c r="L34" i="26"/>
  <c r="E27" i="26"/>
  <c r="D40" i="26"/>
  <c r="G27" i="26"/>
  <c r="F40" i="26"/>
  <c r="F27" i="26"/>
  <c r="E40" i="26"/>
  <c r="H27" i="26"/>
  <c r="F29" i="26"/>
  <c r="E42" i="26"/>
  <c r="H29" i="26"/>
  <c r="G42" i="26"/>
  <c r="H28" i="26"/>
  <c r="E28" i="26"/>
  <c r="D41" i="26"/>
  <c r="C29" i="21"/>
  <c r="C28" i="21"/>
  <c r="C27" i="21"/>
  <c r="D24" i="21"/>
  <c r="C18" i="21"/>
  <c r="D13" i="21"/>
  <c r="D12" i="21"/>
  <c r="L11" i="21"/>
  <c r="H10" i="21"/>
  <c r="I10" i="21"/>
  <c r="J10" i="21"/>
  <c r="K10" i="21"/>
  <c r="H36" i="21"/>
  <c r="I36" i="21"/>
  <c r="E36" i="21"/>
  <c r="K36" i="21"/>
  <c r="G36" i="21"/>
  <c r="J36" i="21"/>
  <c r="F36" i="21"/>
  <c r="L34" i="21"/>
  <c r="I35" i="21"/>
  <c r="E35" i="21"/>
  <c r="J35" i="21"/>
  <c r="H35" i="21"/>
  <c r="K35" i="21"/>
  <c r="G35" i="21"/>
  <c r="F35" i="21"/>
  <c r="D27" i="21"/>
  <c r="E27" i="21"/>
  <c r="D40" i="21"/>
  <c r="F27" i="21"/>
  <c r="E40" i="21"/>
  <c r="D28" i="21"/>
  <c r="D29" i="21"/>
  <c r="G29" i="21"/>
  <c r="F42" i="21"/>
  <c r="H27" i="21"/>
  <c r="G40" i="21"/>
  <c r="G27" i="21"/>
  <c r="F40" i="21"/>
  <c r="H40" i="21"/>
  <c r="H29" i="21"/>
  <c r="G42" i="21"/>
  <c r="G28" i="21"/>
  <c r="F41" i="21"/>
  <c r="F28" i="21"/>
  <c r="E41" i="21"/>
  <c r="H28" i="21"/>
  <c r="G41" i="21"/>
  <c r="E29" i="21"/>
  <c r="D42" i="21"/>
  <c r="F29" i="21"/>
  <c r="E42" i="21"/>
  <c r="E43" i="21"/>
  <c r="E28" i="21"/>
  <c r="D41" i="21"/>
  <c r="H41" i="21"/>
  <c r="F43" i="21"/>
  <c r="G43" i="21"/>
  <c r="D43" i="21"/>
  <c r="H42" i="21"/>
  <c r="H43" i="21"/>
  <c r="C29" i="15"/>
  <c r="C28" i="15"/>
  <c r="C27" i="15"/>
  <c r="D24" i="15"/>
  <c r="C18" i="15"/>
  <c r="D13" i="15"/>
  <c r="D12" i="15"/>
  <c r="L11" i="15"/>
  <c r="H10" i="15"/>
  <c r="I10" i="15"/>
  <c r="J10" i="15"/>
  <c r="K10" i="15"/>
  <c r="J36" i="15"/>
  <c r="F36" i="15"/>
  <c r="H36" i="15"/>
  <c r="K36" i="15"/>
  <c r="I36" i="15"/>
  <c r="E36" i="15"/>
  <c r="G36" i="15"/>
  <c r="L34" i="15"/>
  <c r="I35" i="15"/>
  <c r="E35" i="15"/>
  <c r="K35" i="15"/>
  <c r="G35" i="15"/>
  <c r="J35" i="15"/>
  <c r="H35" i="15"/>
  <c r="F35" i="15"/>
  <c r="D27" i="15"/>
  <c r="E27" i="15"/>
  <c r="D40" i="15"/>
  <c r="G27" i="15"/>
  <c r="F40" i="15"/>
  <c r="D28" i="15"/>
  <c r="H27" i="15"/>
  <c r="G40" i="15"/>
  <c r="F27" i="15"/>
  <c r="E40" i="15"/>
  <c r="H40" i="15"/>
  <c r="G28" i="15"/>
  <c r="F41" i="15"/>
  <c r="E28" i="15"/>
  <c r="D41" i="15"/>
  <c r="F28" i="15"/>
  <c r="E41" i="15"/>
  <c r="H28" i="15"/>
  <c r="G41" i="15"/>
  <c r="D29" i="15"/>
  <c r="H41" i="15"/>
  <c r="E29" i="15"/>
  <c r="D42" i="15"/>
  <c r="F29" i="15"/>
  <c r="E42" i="15"/>
  <c r="E43" i="15"/>
  <c r="H29" i="15"/>
  <c r="G42" i="15"/>
  <c r="G43" i="15"/>
  <c r="G29" i="15"/>
  <c r="F42" i="15"/>
  <c r="F43" i="15"/>
  <c r="H42" i="15"/>
  <c r="H43" i="15"/>
  <c r="D43" i="15"/>
  <c r="C29" i="14"/>
  <c r="C28" i="14"/>
  <c r="C27" i="14"/>
  <c r="D24" i="14"/>
  <c r="C18" i="14"/>
  <c r="D13" i="14"/>
  <c r="D12" i="14"/>
  <c r="H10" i="14"/>
  <c r="I10" i="14"/>
  <c r="J10" i="14"/>
  <c r="K10" i="14"/>
  <c r="D27" i="14"/>
  <c r="D28" i="14"/>
  <c r="F27" i="14"/>
  <c r="E40" i="14"/>
  <c r="E27" i="14"/>
  <c r="D40" i="14"/>
  <c r="H27" i="14"/>
  <c r="G40" i="14"/>
  <c r="G27" i="14"/>
  <c r="F40" i="14"/>
  <c r="H40" i="14"/>
  <c r="H28" i="14"/>
  <c r="G41" i="14"/>
  <c r="G28" i="14"/>
  <c r="F41" i="14"/>
  <c r="F28" i="14"/>
  <c r="E41" i="14"/>
  <c r="E28" i="14"/>
  <c r="D41" i="14"/>
  <c r="D29" i="14"/>
  <c r="H41" i="14"/>
  <c r="F29" i="14"/>
  <c r="E42" i="14"/>
  <c r="E43" i="14"/>
  <c r="E29" i="14"/>
  <c r="D42" i="14"/>
  <c r="H29" i="14"/>
  <c r="G42" i="14"/>
  <c r="G43" i="14"/>
  <c r="G29" i="14"/>
  <c r="F42" i="14"/>
  <c r="F43" i="14"/>
  <c r="D43" i="14"/>
  <c r="H42" i="14"/>
  <c r="H43" i="14"/>
  <c r="C29" i="10"/>
  <c r="C28" i="10"/>
  <c r="C27" i="10"/>
  <c r="D24" i="10"/>
  <c r="C18" i="10"/>
  <c r="D13" i="10"/>
  <c r="D12" i="10"/>
  <c r="H10" i="10"/>
  <c r="I10" i="10"/>
  <c r="J10" i="10"/>
  <c r="K10" i="10"/>
  <c r="C29" i="8"/>
  <c r="C28" i="8"/>
  <c r="C27" i="8"/>
  <c r="D24" i="8"/>
  <c r="C18" i="8"/>
  <c r="D13" i="8"/>
  <c r="D12" i="8"/>
  <c r="L11" i="8"/>
  <c r="H10" i="8"/>
  <c r="I10" i="8"/>
  <c r="J10" i="8"/>
  <c r="K10" i="8"/>
  <c r="C22" i="1"/>
  <c r="C21" i="1"/>
  <c r="C20" i="1"/>
  <c r="C11" i="1"/>
  <c r="H36" i="8"/>
  <c r="K36" i="8"/>
  <c r="G36" i="8"/>
  <c r="E36" i="8"/>
  <c r="J36" i="8"/>
  <c r="F36" i="8"/>
  <c r="I36" i="8"/>
  <c r="L34" i="8"/>
  <c r="J35" i="8"/>
  <c r="F35" i="8"/>
  <c r="H35" i="8"/>
  <c r="G35" i="8"/>
  <c r="I35" i="8"/>
  <c r="E35" i="8"/>
  <c r="K35" i="8"/>
  <c r="D27" i="10"/>
  <c r="D27" i="8"/>
  <c r="D17" i="1"/>
  <c r="H20" i="1"/>
  <c r="G27" i="10"/>
  <c r="F40" i="10"/>
  <c r="H27" i="10"/>
  <c r="G40" i="10"/>
  <c r="D28" i="10"/>
  <c r="F27" i="10"/>
  <c r="E40" i="10"/>
  <c r="E27" i="10"/>
  <c r="D40" i="10"/>
  <c r="D28" i="8"/>
  <c r="F27" i="8"/>
  <c r="E40" i="8"/>
  <c r="G27" i="8"/>
  <c r="F40" i="8"/>
  <c r="E27" i="8"/>
  <c r="D40" i="8"/>
  <c r="H27" i="8"/>
  <c r="G40" i="8"/>
  <c r="H40" i="10"/>
  <c r="H21" i="1"/>
  <c r="H40" i="8"/>
  <c r="E28" i="10"/>
  <c r="D41" i="10"/>
  <c r="F28" i="10"/>
  <c r="E41" i="10"/>
  <c r="H28" i="10"/>
  <c r="G41" i="10"/>
  <c r="G28" i="10"/>
  <c r="F41" i="10"/>
  <c r="D29" i="10"/>
  <c r="H28" i="8"/>
  <c r="G41" i="8"/>
  <c r="E28" i="8"/>
  <c r="D41" i="8"/>
  <c r="G28" i="8"/>
  <c r="F41" i="8"/>
  <c r="F28" i="8"/>
  <c r="E41" i="8"/>
  <c r="D29" i="8"/>
  <c r="H3" i="1"/>
  <c r="I3" i="1"/>
  <c r="J3" i="1"/>
  <c r="K3" i="1"/>
  <c r="H41" i="8"/>
  <c r="H41" i="10"/>
  <c r="G29" i="10"/>
  <c r="F42" i="10"/>
  <c r="F43" i="10"/>
  <c r="H29" i="10"/>
  <c r="G42" i="10"/>
  <c r="G43" i="10"/>
  <c r="F29" i="10"/>
  <c r="E42" i="10"/>
  <c r="E43" i="10"/>
  <c r="E29" i="10"/>
  <c r="D42" i="10"/>
  <c r="F29" i="8"/>
  <c r="E42" i="8"/>
  <c r="E43" i="8"/>
  <c r="G29" i="8"/>
  <c r="F42" i="8"/>
  <c r="F43" i="8"/>
  <c r="E29" i="8"/>
  <c r="D42" i="8"/>
  <c r="H29" i="8"/>
  <c r="G42" i="8"/>
  <c r="G43" i="8"/>
  <c r="H22" i="1"/>
  <c r="H42" i="10"/>
  <c r="H43" i="10"/>
  <c r="D43" i="10"/>
  <c r="H42" i="8"/>
  <c r="H43" i="8"/>
  <c r="D43" i="8"/>
  <c r="G20" i="1"/>
  <c r="E20" i="1"/>
  <c r="E22" i="1"/>
  <c r="G22" i="1"/>
  <c r="N29" i="1"/>
  <c r="E21" i="1"/>
  <c r="G21" i="1"/>
  <c r="G41" i="26"/>
  <c r="E43" i="26"/>
  <c r="G28" i="26"/>
  <c r="F41" i="26"/>
  <c r="H41" i="26"/>
  <c r="G29" i="26"/>
  <c r="F42" i="26"/>
  <c r="F43" i="26"/>
  <c r="D43" i="26"/>
  <c r="H42" i="26"/>
  <c r="G40" i="26"/>
  <c r="G43" i="26"/>
  <c r="D12" i="33"/>
  <c r="L12" i="30"/>
  <c r="E27" i="40"/>
  <c r="D40" i="40"/>
  <c r="D28" i="40"/>
  <c r="G27" i="40"/>
  <c r="F40" i="40"/>
  <c r="F27" i="40"/>
  <c r="E40" i="40"/>
  <c r="H27" i="40"/>
  <c r="G40" i="40"/>
  <c r="D29" i="40"/>
  <c r="D27" i="28"/>
  <c r="F27" i="28"/>
  <c r="E40" i="28"/>
  <c r="E27" i="28"/>
  <c r="D40" i="28"/>
  <c r="G27" i="28"/>
  <c r="F40" i="28"/>
  <c r="D28" i="28"/>
  <c r="H27" i="28"/>
  <c r="G40" i="28"/>
  <c r="L13" i="30"/>
  <c r="J11" i="33"/>
  <c r="J36" i="33"/>
  <c r="D27" i="33"/>
  <c r="D28" i="33"/>
  <c r="K11" i="33"/>
  <c r="I11" i="33"/>
  <c r="I35" i="33"/>
  <c r="D13" i="30"/>
  <c r="D27" i="30"/>
  <c r="G41" i="36"/>
  <c r="G28" i="36"/>
  <c r="D29" i="36"/>
  <c r="E28" i="36"/>
  <c r="D41" i="36"/>
  <c r="H29" i="36"/>
  <c r="G42" i="36"/>
  <c r="G43" i="36"/>
  <c r="F41" i="36"/>
  <c r="D27" i="37"/>
  <c r="G35" i="37"/>
  <c r="I36" i="37"/>
  <c r="E35" i="37"/>
  <c r="K36" i="37"/>
  <c r="G36" i="37"/>
  <c r="K35" i="37"/>
  <c r="E36" i="37"/>
  <c r="I36" i="33"/>
  <c r="H40" i="26"/>
  <c r="H43" i="26"/>
  <c r="H27" i="33"/>
  <c r="G40" i="33"/>
  <c r="J35" i="33"/>
  <c r="G29" i="40"/>
  <c r="F42" i="40"/>
  <c r="E29" i="40"/>
  <c r="D42" i="40"/>
  <c r="H29" i="40"/>
  <c r="G42" i="40"/>
  <c r="H28" i="40"/>
  <c r="G41" i="40"/>
  <c r="G43" i="40"/>
  <c r="F29" i="40"/>
  <c r="E42" i="40"/>
  <c r="F28" i="40"/>
  <c r="E41" i="40"/>
  <c r="E43" i="40"/>
  <c r="E28" i="40"/>
  <c r="D41" i="40"/>
  <c r="G28" i="40"/>
  <c r="F41" i="40"/>
  <c r="F43" i="40"/>
  <c r="H40" i="40"/>
  <c r="E28" i="28"/>
  <c r="D41" i="28"/>
  <c r="H28" i="28"/>
  <c r="G41" i="28"/>
  <c r="F28" i="28"/>
  <c r="E41" i="28"/>
  <c r="G28" i="28"/>
  <c r="F41" i="28"/>
  <c r="D29" i="28"/>
  <c r="H40" i="28"/>
  <c r="K35" i="33"/>
  <c r="K36" i="33"/>
  <c r="G27" i="33"/>
  <c r="F40" i="33"/>
  <c r="E27" i="33"/>
  <c r="D40" i="33"/>
  <c r="F27" i="33"/>
  <c r="E40" i="33"/>
  <c r="D28" i="30"/>
  <c r="F27" i="30"/>
  <c r="E40" i="30"/>
  <c r="H27" i="30"/>
  <c r="G40" i="30"/>
  <c r="G27" i="30"/>
  <c r="F40" i="30"/>
  <c r="E27" i="30"/>
  <c r="D40" i="30"/>
  <c r="F29" i="36"/>
  <c r="E42" i="36"/>
  <c r="E43" i="36"/>
  <c r="E29" i="36"/>
  <c r="D42" i="36"/>
  <c r="G29" i="36"/>
  <c r="F42" i="36"/>
  <c r="F43" i="36"/>
  <c r="H41" i="36"/>
  <c r="G27" i="37"/>
  <c r="F40" i="37"/>
  <c r="E27" i="37"/>
  <c r="D40" i="37"/>
  <c r="D28" i="37"/>
  <c r="F27" i="37"/>
  <c r="E40" i="37"/>
  <c r="H27" i="37"/>
  <c r="G40" i="37"/>
  <c r="E28" i="33"/>
  <c r="H28" i="33"/>
  <c r="G41" i="33"/>
  <c r="G28" i="33"/>
  <c r="F41" i="33"/>
  <c r="F28" i="33"/>
  <c r="E41" i="33"/>
  <c r="D29" i="33"/>
  <c r="D41" i="33"/>
  <c r="H40" i="33"/>
  <c r="H42" i="40"/>
  <c r="H41" i="40"/>
  <c r="H43" i="40"/>
  <c r="D43" i="40"/>
  <c r="F29" i="28"/>
  <c r="E42" i="28"/>
  <c r="E43" i="28"/>
  <c r="G29" i="28"/>
  <c r="F42" i="28"/>
  <c r="F43" i="28"/>
  <c r="H29" i="28"/>
  <c r="G42" i="28"/>
  <c r="G43" i="28"/>
  <c r="E29" i="28"/>
  <c r="D42" i="28"/>
  <c r="H41" i="28"/>
  <c r="H40" i="30"/>
  <c r="F28" i="30"/>
  <c r="E41" i="30"/>
  <c r="G28" i="30"/>
  <c r="F41" i="30"/>
  <c r="E28" i="30"/>
  <c r="D41" i="30"/>
  <c r="H28" i="30"/>
  <c r="G41" i="30"/>
  <c r="D29" i="30"/>
  <c r="H42" i="36"/>
  <c r="H43" i="36"/>
  <c r="D43" i="36"/>
  <c r="H40" i="37"/>
  <c r="H28" i="37"/>
  <c r="G41" i="37"/>
  <c r="D29" i="37"/>
  <c r="G28" i="37"/>
  <c r="F41" i="37"/>
  <c r="E28" i="37"/>
  <c r="D41" i="37"/>
  <c r="F28" i="37"/>
  <c r="E41" i="37"/>
  <c r="G29" i="33"/>
  <c r="F42" i="33"/>
  <c r="F43" i="33"/>
  <c r="F29" i="33"/>
  <c r="E42" i="33"/>
  <c r="E43" i="33"/>
  <c r="H29" i="33"/>
  <c r="G42" i="33"/>
  <c r="G43" i="33"/>
  <c r="E29" i="33"/>
  <c r="D42" i="33"/>
  <c r="D43" i="33"/>
  <c r="H41" i="33"/>
  <c r="H41" i="30"/>
  <c r="H42" i="28"/>
  <c r="H43" i="28"/>
  <c r="D43" i="28"/>
  <c r="G29" i="30"/>
  <c r="F42" i="30"/>
  <c r="F43" i="30"/>
  <c r="F29" i="30"/>
  <c r="E42" i="30"/>
  <c r="E43" i="30"/>
  <c r="E29" i="30"/>
  <c r="D42" i="30"/>
  <c r="H29" i="30"/>
  <c r="G42" i="30"/>
  <c r="G43" i="30"/>
  <c r="H41" i="37"/>
  <c r="H29" i="37"/>
  <c r="G42" i="37"/>
  <c r="G43" i="37"/>
  <c r="F29" i="37"/>
  <c r="E42" i="37"/>
  <c r="E43" i="37"/>
  <c r="E29" i="37"/>
  <c r="D42" i="37"/>
  <c r="G29" i="37"/>
  <c r="F42" i="37"/>
  <c r="F43" i="37"/>
  <c r="H42" i="33"/>
  <c r="H43" i="33"/>
  <c r="H42" i="30"/>
  <c r="H43" i="30"/>
  <c r="D43" i="30"/>
  <c r="D43" i="37"/>
  <c r="H42" i="37"/>
  <c r="H43" i="37"/>
</calcChain>
</file>

<file path=xl/sharedStrings.xml><?xml version="1.0" encoding="utf-8"?>
<sst xmlns="http://schemas.openxmlformats.org/spreadsheetml/2006/main" count="1702" uniqueCount="262">
  <si>
    <t>Price Control Deliverables (PCD) template and sample delivery impacts</t>
  </si>
  <si>
    <t xml:space="preserve">Inputs </t>
  </si>
  <si>
    <t>Units</t>
  </si>
  <si>
    <t>AMP8</t>
  </si>
  <si>
    <t>Ultimate delivery</t>
  </si>
  <si>
    <t>Total</t>
  </si>
  <si>
    <t>Notes</t>
  </si>
  <si>
    <t>Cumulative volume for PCD</t>
  </si>
  <si>
    <t>unit</t>
  </si>
  <si>
    <t>Input as cumulative value, including 2024 and 2025 if Transition Investment is proposed. Ultimate value reflects the final value against which the main overall PCD will be tested.</t>
  </si>
  <si>
    <t>AMP8 Capex (22/23 pb)</t>
  </si>
  <si>
    <t>£</t>
  </si>
  <si>
    <t>This should reflect the annual net Capex sought to be recovered from customers (i.e. net of implicit allowances) - for use compensating for ultimate delivery</t>
  </si>
  <si>
    <t>AMP8 Opex (22/23 pb)</t>
  </si>
  <si>
    <t>This should reflect the annual net Opex sought to be recovered from customers (i.e. net of implicit allowances) - for use compensating for late delivery</t>
  </si>
  <si>
    <t>WACC</t>
  </si>
  <si>
    <t>%</t>
  </si>
  <si>
    <t>AMP8 WACC - for use in calculating the time value adjustment to year 1 of AMP9</t>
  </si>
  <si>
    <t>Value lost due to late delivery (% of totex)</t>
  </si>
  <si>
    <t>Value to be reflected as a % of totex benefit</t>
  </si>
  <si>
    <t>Cost sharing rate (customer share)</t>
  </si>
  <si>
    <t>Rate at which avoided costs are shared with customers (assumed to be 50 %)</t>
  </si>
  <si>
    <t>Bioresources adjustment</t>
  </si>
  <si>
    <t>Adjustment to rates applies to Bioresources, to reflect lack of certainty in future Bioresources price control, and lack of RCV guarantee</t>
  </si>
  <si>
    <t>ODI impact per unit of PCD volume</t>
  </si>
  <si>
    <t>Expectation value of change in all ODI reward/penalties resulting from avoiding one unit of PCD volume. This should be the £ value of ODI per single PCD unit.</t>
  </si>
  <si>
    <t>PC allocation</t>
  </si>
  <si>
    <t>Water resources</t>
  </si>
  <si>
    <t>% allocation of PCD to water resources - based on totex allocation</t>
  </si>
  <si>
    <t>Water network+</t>
  </si>
  <si>
    <t>% allocation of PCD to water network plus - based on totex allocation</t>
  </si>
  <si>
    <t>Wastewater Network+</t>
  </si>
  <si>
    <t>% allocation of PCD to wastewater network plus - based on totex allocation</t>
  </si>
  <si>
    <t>Bioresources</t>
  </si>
  <si>
    <t>% allocation of PCD to bioresources - based on totex allocation</t>
  </si>
  <si>
    <t>PCD incentive rates</t>
  </si>
  <si>
    <t>BASE RATE</t>
  </si>
  <si>
    <t>WR</t>
  </si>
  <si>
    <t>WN+</t>
  </si>
  <si>
    <t>WwN+</t>
  </si>
  <si>
    <t>BR</t>
  </si>
  <si>
    <t>Overall delivery</t>
  </si>
  <si>
    <t>PCD rate for ultimate non-delivery of capex by end of AMP8, post cost sharing, post ODI impact</t>
  </si>
  <si>
    <t>Time value rate</t>
  </si>
  <si>
    <t>Additional time value adjustment if ultimate non-delivery reflects multiple years of non-delivery</t>
  </si>
  <si>
    <t xml:space="preserve">Late delivery </t>
  </si>
  <si>
    <t>Adjustment for additional delays in delivery, over and above impact of ultimate non-delivery - reflects annual value last (as % of totex), avoided opex and time value adjustment for late delivery.</t>
  </si>
  <si>
    <t>Examples - impact of different delivery  profiles</t>
  </si>
  <si>
    <t>Example 1</t>
  </si>
  <si>
    <t>Non-delivery of one unit by end of AMP8, with amount non-delivered from year 3</t>
  </si>
  <si>
    <t>Reflects ultimate non-delivery of one unit</t>
  </si>
  <si>
    <t>Reflects time value of 3 years due to non-delivery from year 3</t>
  </si>
  <si>
    <t>No additional late delivery over and above ultimate non-delivery, so no further adjustment</t>
  </si>
  <si>
    <t>Example 2</t>
  </si>
  <si>
    <t>Ultimate delivery of PCD target by end of AMP8, but with one unit of late delivered from years 1 to 4</t>
  </si>
  <si>
    <t>Reflects ultimate delivery of PCD target, so no penalty</t>
  </si>
  <si>
    <t>Late delivery of one unit in years 1 to 4, results in late delivery penalty in each year</t>
  </si>
  <si>
    <t>Example 3</t>
  </si>
  <si>
    <t>Combination of ultimate non-delivery of one unit, and additional late delivery mid period</t>
  </si>
  <si>
    <t>Reflects time value of 4 years due to non-delivery from year 2</t>
  </si>
  <si>
    <t>Additional late delivery in years 3 and 4, over and above the value ultimately non-delivered, results in late delivery penalties year 3 and 4</t>
  </si>
  <si>
    <t>Example 5</t>
  </si>
  <si>
    <t xml:space="preserve">Ultimate delivery expected later than AMP8 (e.g. 2031), so should only include late delivery penalties </t>
  </si>
  <si>
    <t>Late delivery of one unit in years 1 to 5, results in late delivery penalty in each year</t>
  </si>
  <si>
    <t>Example 6</t>
  </si>
  <si>
    <t>Early over-delivery followed by late delivery</t>
  </si>
  <si>
    <t>No benefit from early delivery in year 1, but penalty for late delivery in year 4</t>
  </si>
  <si>
    <t>Example 7</t>
  </si>
  <si>
    <t>Over delivery against PCD targets, to demonstrate that PCD does not reward over-delivery</t>
  </si>
  <si>
    <t>Reflects ultimate delivery of more than the PCD target, so no penalty</t>
  </si>
  <si>
    <t>Example 8</t>
  </si>
  <si>
    <t>Non delivery of all deliverables</t>
  </si>
  <si>
    <t>Ultimate non-delivery results in 50% of costs passed back to customers (other half of totex sharing)</t>
  </si>
  <si>
    <t>Time value of money for each year of non-delivery</t>
  </si>
  <si>
    <t>No late delivery, beyond that recorded above in non-delivery</t>
  </si>
  <si>
    <t>PCD - reservoir dam maintenance</t>
  </si>
  <si>
    <t>Scheme delivery expectations</t>
  </si>
  <si>
    <t>Description of deliverable</t>
  </si>
  <si>
    <t>Achieve reservoir safety risk reduction points of 15.46 by 31st March 2030. As part of a programme of reducing risk in line with Health and Safety Executive guidelines, though our PRA (Portfolio Risk Assessment process). This excludes our ITIOS actions, which are statutory remedial actions, for which it is not possible to represent on a common measurement basis as the PRA actions. The statutory itios actions also have a very low risk of non-delivery.</t>
  </si>
  <si>
    <t>Output measurement and reporting</t>
  </si>
  <si>
    <t>We have an existing ODI in AMP7 for reservoir risk reduction points. For AMP8 delivery will be reported through the APR process based on the AMP7 ODI reporting methodology. Additional detail necessary can be set out as appropriate in table commentary to table CW18.
Risk reduction points are the difference in annual probability of failure between the pre-project state of the reservoir, and the post-project state of the reservoir (pre-project is when the reservoirs is in an ‘intolerable risk’ category as defined by the HSE, post-project is when the reservoir risk has been reduced to an ‘acceptable’ risk category as defined by the HSE). Risk reduction is achieved through engineered changes to the dam structure, operational changes to water level, changing information about risk state arising from detailed geophysical surveys, and so on.
Pre-project annual probability of failure (intolerable risk) – Post-project annual probability of failure (acceptable risk) = risk reduction points</t>
  </si>
  <si>
    <t>Assurance</t>
  </si>
  <si>
    <t>Calculation done by multi-disciplinary technical team.
Independent third party assessment of completed milestones undertaken through the APR assurance process.</t>
  </si>
  <si>
    <t>Conditions on scheme</t>
  </si>
  <si>
    <t>None</t>
  </si>
  <si>
    <t>Impact on PCs</t>
  </si>
  <si>
    <t>PCD delivery profile</t>
  </si>
  <si>
    <t>Unit</t>
  </si>
  <si>
    <t>Cumulative delivery target for PCD</t>
  </si>
  <si>
    <t>risk points</t>
  </si>
  <si>
    <t>Price Control</t>
  </si>
  <si>
    <t>Price Control Allocation</t>
  </si>
  <si>
    <t>Impact of reported delivery</t>
  </si>
  <si>
    <t>Actual/forecast delivery</t>
  </si>
  <si>
    <t>PCD imacts to be passed back to customers at PR29</t>
  </si>
  <si>
    <t>TOTAL</t>
  </si>
  <si>
    <t>PCD - Smart Meters</t>
  </si>
  <si>
    <t>Installation of 920,891 AMI (Advanced Metering Infrastructure) capable meters – Capable of recording hourly consumption and transmitting data daily. Includes new meters for existing customers and replacements of existing meters. Also will deliver a shared smart meter IT support infrastructure, enabling daily metering data to be captured, stored, and made available for billing and operational uses by March 31st 2030. Costs for PCD unit rates include meter purchase, meter fitting, meter commissioning and communications infrastructure. The costs for shared smart meter IT support infrastructure are excluded on the basis that these costs are independent of number of meters installed.</t>
  </si>
  <si>
    <t>Delivery of AMI meters in line with profile at final WRMP24 and PR24 - but structured as cumulative to allow flexibility and to mitigate against the risk of factors beyond our control, wjhich may impact on timing of delivery.
Delivery of meters will be monitored and delivered through the APR (Annual Performance Reporting) process</t>
  </si>
  <si>
    <t>Meter installation volumes by technology type reported as part of Annual Performance Reporting (APR). Established reporting requirements, assurance and governance processes for the APR will be followed.</t>
  </si>
  <si>
    <t>Delivery conditional on provision of a shared smart meter IT support infrastructure, enabling daily metering data to be captured, stored, and made available for billing and operational uses by March 31st 2030.</t>
  </si>
  <si>
    <t>PCC: incentive rate = £2,569,662 per l/p/d. 2030 PCC benefit from new meters (including FMO)  = 1.55 l/p/d (501k meters). 2030 PCC benefit from replacement meters  = 0.70 l/p/d (420k meters). Weighted average ODI impact = £6.29 per meter. 
Leakage: incentive rate = £364,886 per Ml/d. 2030 leakage benefit from meters  = 11.56 Ml/d (921k meters). Average ODI impact = £4.58 per meter. 
Total = £10.87 per meter.</t>
  </si>
  <si>
    <t>meters</t>
  </si>
  <si>
    <t>PCD - lead replacement enhancement</t>
  </si>
  <si>
    <t xml:space="preserve">Customers removed from having lead supplies; replacement of lead pipe from water main to compliance point.
This may be completed as 2 interventions: communication pipe (UUW owned) and supply pipe (customer owned). </t>
  </si>
  <si>
    <t>A customer will have been deemed to have been removed from lead supply by removal of both communication pipe and supply pipe. For shared supplies, each customer will be counted as an individual output. Reported each year at financial year end.</t>
  </si>
  <si>
    <t>Where the custmer replaces the supply pipe under our grant scheme, the grant is only paid to the customer following confirmation of completion of the work. Assurance that this work is completed and met the standards is verified by a Water Safe plumber providing photo or video evidence or UUW customer technician pipe-out inspection.  The evidence is stored, reviewed and checked prior to the grant being paid and communication pipe being replaced by UUW.  Further verification and photos are taken at the time of connection. 
All volumes reported as part of Annual Performance Reporting (APR). Established reporting requirements, assurance and governance processes for the APR will be followed.</t>
  </si>
  <si>
    <t>Assume zero. Minor/negligible impacts on CRI and on leakage (associated with improved asset health of supply pipe)</t>
  </si>
  <si>
    <t>customers</t>
  </si>
  <si>
    <t>PCD - leakage enhancment</t>
  </si>
  <si>
    <t>Our leakage enhancement case constitutes targeted mains renewal and network optimisation. As targeted mains renewal makes up the vast majority (~94%) of the expenditure related to our leakage enhancement, we have used kilometres of mains renewal as the deliverable for the price control deliverable (PCD).</t>
  </si>
  <si>
    <t>Kilometres of mains renewed</t>
  </si>
  <si>
    <t>Kilometres of mains renewed is reported in the APR (currently table 6C line 6C.3) with the reported figures captured on water network activity trackers, verified by the reporting team and externally assured by our assurance provider. As it is likely that the mains renewed line will report on activities not covered by this leakage enhancement case, it may be more suitable to have a separate APR line that is completed and externally assured in the same way as the existing APR line.</t>
  </si>
  <si>
    <r>
      <t xml:space="preserve">Failure to complete the programme related to this leakage enhancement case will impact on performance against our leakage PCL, resulting in underperformance payments. </t>
    </r>
    <r>
      <rPr>
        <sz val="11"/>
        <rFont val="Calibri"/>
        <family val="2"/>
        <scheme val="minor"/>
      </rPr>
      <t>The value of £24,139 below reflects the annual leakage impact per km of mains renewed, multiplied by the AMP8 leakage ODI rate of £364,886 per megalitre per day (Ml/d). It's worth noting that the leakage benefit delivered by 2030 will broadly reflect 4.5 years of delivery, as mains renewed in 2030 will have less than a years impact on AMP8 leakage performance.</t>
    </r>
  </si>
  <si>
    <t>km mains</t>
  </si>
  <si>
    <t>PCD - Water WINEP Biodiversity</t>
  </si>
  <si>
    <t>Deliver biodiversity improvements to restore or prevent deterioration of Sites of Special Scientific Interest (SSSI) and/or ensure European sites are in favourable condition (this relates to schemes under a NERC, SSSI or HD driver code).</t>
  </si>
  <si>
    <r>
      <t>We have calculated the cumulative PCD deliverables based on the area (hectares) of the catchment of each location involved that is benefitting from this environmental improvement. To account for work required to achieve each of the milestones, we have proportioned the associated hectarage as 20% for Contract Award, 40% Start on Site and 40% Project in Use.
The projects at Overwater, Crummock Water and Chapel House also include significant construction costs, and the costs per hectare of those projects are therefore disproportionaly higher than the other schemes in the programme. For these three projects we have applied a surrogate measure of ‘equivalent hectarage’ based on the number of hectares that relate to the cost of each of those schemes, if one applies the  average £ / hectare of the other schemes in the programme. This ensures that PCD rates are broadly proportionate to all schemes in the programme, number of actions completed under the NERC, SSSI and HD driver codes in line with project milestones, as set out in Table 1. Equivalent hectarage of catchment benefitting from actions completed under the NERC, SSSI and HD driver codes in line with project milestones, as set out in Table 2.. This is used to calculate the weighted milestone value used in this PCD as shown in Table [zzz]
We propose the completion of site schemes will be reported through the APR process through</t>
    </r>
    <r>
      <rPr>
        <sz val="11"/>
        <color rgb="FFFF0000"/>
        <rFont val="Calibri"/>
        <family val="2"/>
        <scheme val="minor"/>
      </rPr>
      <t xml:space="preserve"> </t>
    </r>
    <r>
      <rPr>
        <sz val="11"/>
        <rFont val="Calibri"/>
        <family val="2"/>
        <scheme val="minor"/>
      </rPr>
      <t xml:space="preserve">table 5a (new line or additional commentary). </t>
    </r>
    <r>
      <rPr>
        <sz val="11"/>
        <color theme="1"/>
        <rFont val="Calibri"/>
        <family val="2"/>
        <scheme val="minor"/>
      </rPr>
      <t xml:space="preserve">Whilst this table does not currently allow for project milestone delivery, this additional detail could be set out in table commentary.
No delivery completion is forecast in years 1 and 2 as these years will be spent in design and definition project phase, and securing 3rd party partnerships, and tendering contracts. This phase will also involve extensive negotiation and agreement with the Environment Agency, National Parks Authority, Natural England, and land owners concerning detailed method statements and success criteria.
</t>
    </r>
  </si>
  <si>
    <t>In line with EA guidance completion of an action will require the live WINEP/NEP to have been signed off by UUW with the relevant Output in Use evidence pack uploaded to the EA WINEP SharePoint. The EA will then also need to sign the live WINEP/NEP to confirm they are happy that the scheme has been completed in line with the Action Specification Form. For schemes with a regulatory date of 31st March the EA have until 15th May in order to review the evidence and sign-off. EA sign-off provides third party assurance.</t>
  </si>
  <si>
    <t>hectares</t>
  </si>
  <si>
    <t>Table 1</t>
  </si>
  <si>
    <t>Site</t>
  </si>
  <si>
    <t>HA</t>
  </si>
  <si>
    <t xml:space="preserve"> Contract award (20%) </t>
  </si>
  <si>
    <t xml:space="preserve"> Start on site (40%)  </t>
  </si>
  <si>
    <t xml:space="preserve"> Project in use (40%) </t>
  </si>
  <si>
    <t>Poaka Beck</t>
  </si>
  <si>
    <t>Thirlmere</t>
  </si>
  <si>
    <t>Upper Duddon</t>
  </si>
  <si>
    <t>River Eden</t>
  </si>
  <si>
    <t>Ennerdale</t>
  </si>
  <si>
    <t>Bowland</t>
  </si>
  <si>
    <t>Haweswater</t>
  </si>
  <si>
    <t>South Pennines</t>
  </si>
  <si>
    <t>West Pennines</t>
  </si>
  <si>
    <t>Crummock Water</t>
  </si>
  <si>
    <t>Chapel House</t>
  </si>
  <si>
    <t>Overwater</t>
  </si>
  <si>
    <t>Table 2</t>
  </si>
  <si>
    <t>1) Deliverable and weighting</t>
  </si>
  <si>
    <t>Forecast deliverables</t>
  </si>
  <si>
    <t>2025-26</t>
  </si>
  <si>
    <t>2026-27</t>
  </si>
  <si>
    <t>2027-28</t>
  </si>
  <si>
    <t>2028-29</t>
  </si>
  <si>
    <t>2029-30</t>
  </si>
  <si>
    <t>Contract Award (20%)</t>
  </si>
  <si>
    <t>Start on Site (40%)</t>
  </si>
  <si>
    <t>Project in Use (40%)</t>
  </si>
  <si>
    <t>Total (PCD deliverable)</t>
  </si>
  <si>
    <t>PCD - raw water quality enhancements</t>
  </si>
  <si>
    <t xml:space="preserve">Installation of permanent treatment solutions for the taste and odour causing metabolites, geosmin and 2-MIB, at five water treatment works under notice by the DWI. </t>
  </si>
  <si>
    <r>
      <t>PCD deliverables are set to reflect delivery of the additional treatment processes , meeting the milestones set out in the Project Milestones Table</t>
    </r>
    <r>
      <rPr>
        <sz val="11"/>
        <rFont val="Calibri"/>
        <family val="2"/>
        <scheme val="minor"/>
      </rPr>
      <t xml:space="preserve"> 2, </t>
    </r>
    <r>
      <rPr>
        <sz val="11"/>
        <color theme="1"/>
        <rFont val="Calibri"/>
        <family val="2"/>
        <scheme val="minor"/>
      </rPr>
      <t>with each milestone weighted by the scale of each project (by reference to the Ml/d of peak weak capacity of each treatment works, Tabl</t>
    </r>
    <r>
      <rPr>
        <sz val="11"/>
        <rFont val="Calibri"/>
        <family val="2"/>
        <scheme val="minor"/>
      </rPr>
      <t>e 1.</t>
    </r>
    <r>
      <rPr>
        <sz val="11"/>
        <color rgb="FFFF0000"/>
        <rFont val="Calibri"/>
        <family val="2"/>
        <scheme val="minor"/>
      </rPr>
      <t xml:space="preserve"> </t>
    </r>
    <r>
      <rPr>
        <sz val="11"/>
        <rFont val="Calibri"/>
        <family val="2"/>
        <scheme val="minor"/>
      </rPr>
      <t>This is used to calculate the weighted milestone value used in this PCD as shown in Table 3.</t>
    </r>
    <r>
      <rPr>
        <sz val="11"/>
        <color theme="1"/>
        <rFont val="Calibri"/>
        <family val="2"/>
        <scheme val="minor"/>
      </rPr>
      <t xml:space="preserve">
We propose the completion of site schemes will be reported through the APR process through table 6A, line 6A.29 Number of treatment works requiring remedial action because of raw water deterioration. Whilst this table does not currently allow for project milestone delivery, this additional detail could be set out in table commentary.</t>
    </r>
  </si>
  <si>
    <t xml:space="preserve">DWI assessment of completed milestones as per the terms of the relevant Notices, in line with agreed Notice Audit Strategy
Independent third-party assessment of completed milestones and forecast of likely outturn position, through APR audit process. </t>
  </si>
  <si>
    <t xml:space="preserve">Assume zero. We anticipate a small benefit through improved performance with respect to customer contacts about water quality through the completion of this programme of work. However, this risk is currently managed through significantly reducing flows at the affected WTW so as not to impact customers downstream. Therefore the driver of this project is not to improve performance with respect to PCs, but to ensure there is sufficient water of acceptable quality available to meet peak demand. </t>
  </si>
  <si>
    <t>Ml/d (weighted milestones)</t>
  </si>
  <si>
    <t>WTW</t>
  </si>
  <si>
    <t>Peak Week Production Capacity (Ml/d)</t>
  </si>
  <si>
    <t xml:space="preserve">Cowpe </t>
  </si>
  <si>
    <t>Fishmoor</t>
  </si>
  <si>
    <t>Hurleston</t>
  </si>
  <si>
    <t>Lamaload</t>
  </si>
  <si>
    <t>Ridgegate</t>
  </si>
  <si>
    <t>Milestone</t>
  </si>
  <si>
    <t>Cowpe WTW</t>
  </si>
  <si>
    <t>Fishmoor WTW</t>
  </si>
  <si>
    <t>Hurleston WTW</t>
  </si>
  <si>
    <t>Lamaload WTW</t>
  </si>
  <si>
    <t>Ridgegate WTW</t>
  </si>
  <si>
    <t>Contract Award</t>
  </si>
  <si>
    <t>Start on Site</t>
  </si>
  <si>
    <t>Project in Use</t>
  </si>
  <si>
    <t>Final Acceptance</t>
  </si>
  <si>
    <t>Table 3</t>
  </si>
  <si>
    <t>Ml/d</t>
  </si>
  <si>
    <t>PCD - Vyrnwy</t>
  </si>
  <si>
    <t xml:space="preserve">Relining 65.6km of the Vyrnwy treated water aqueduct, across two separate lines of the pipeline, between Cotebrook and Prescot in line with the terms of the DWI Enforcement Order. </t>
  </si>
  <si>
    <t xml:space="preserve">Company should deliver the number of km re-lined and thus water quality benefits for customers in line with the terms of the DWI Enforcement Order. 
The km re-lined will be reported and monitored through the APR process, making use of the existing reporting mechanism in place for the Vyrnwy aqueduct AMP7 bespoke Performance Commitment which monitors the same output, however this will require a new reporting line. </t>
  </si>
  <si>
    <t xml:space="preserve">DWI assessment of completed milestones as per the terms of the Enforcement Order, in line with agreed Enforcement Order Audit Strategy
Independent third-party assessment of completed milestones and forecast of likely outturn position, through APR audit process. </t>
  </si>
  <si>
    <r>
      <rPr>
        <sz val="11"/>
        <rFont val="Calibri"/>
        <family val="2"/>
        <scheme val="minor"/>
      </rPr>
      <t>The work is subject to an Enforcement Order by the DWI (Ref UUT 2020 – 00002).  The work must be completed by 31 December 2028 with a satisfactory completion report demonstrating successful completion and delivery of the outcomes by 31 January 2030. Therefore, we propose that this PCD should be conditional upon UUW completing the report by the 31st January 2030.</t>
    </r>
    <r>
      <rPr>
        <sz val="11"/>
        <color rgb="FFFF0000"/>
        <rFont val="Calibri"/>
        <family val="2"/>
        <scheme val="minor"/>
      </rPr>
      <t xml:space="preserve"> </t>
    </r>
  </si>
  <si>
    <t xml:space="preserve">Impact likely on WQC PCL, given the nature of the Enforcement Order, we do not consider it appropriate to reflect that in this PCD. </t>
  </si>
  <si>
    <t>km</t>
  </si>
  <si>
    <t>PCD - WINEP storm overflow spill reduction programme</t>
  </si>
  <si>
    <r>
      <t xml:space="preserve">Delivery of storm overflows spill reduction programme (for both network and STW) in line with our AMP8 WINEP, which entails delivering projects that contribute to a modelled expectation value of spill reduction of 22,063 per annum by the end of AMP8. </t>
    </r>
    <r>
      <rPr>
        <i/>
        <sz val="11"/>
        <color theme="1"/>
        <rFont val="Calibri"/>
        <family val="2"/>
        <scheme val="minor"/>
      </rPr>
      <t>[Redacted]</t>
    </r>
  </si>
  <si>
    <t xml:space="preserve">This metric reflects the modelled overflow spill reduction from each scheme delivered, with the target being in line with the profile of delivery in the company's PR24 business plan, to deliver AMP8 WINEP requirements. These are set out in the table below.
WINEP will be subject to a change control process through application to the Environment Agency - any variation in scheme will have its own modelled/expected spill reduction, which will count against delivery of this PCD. </t>
  </si>
  <si>
    <t>Successful completion of WINEP Enhancement schemes is assured internally through review of evidence compiled by delivery partner / Engineering and External assurance is by the Environment Agency confirming completion and updating the WINEP Tracker to reflect the date the output was claimed. Generation of an associated output in use (OIU) certificate and evidence pack will include the modelled spill prior to the scheme and post scheme completion. The evidence pack is provided to the Environment Agency for their sign off that the scheme has been completed</t>
  </si>
  <si>
    <r>
      <t xml:space="preserve">In the event on projhect non-delivery, the expected spill frequecy will be higher than target, and hence we will also be penalised via the associated PCL and ODI - this PCD therefore relates directly to the storm overflows performance commitment (expected performance, before the impact of any weather related variability). To avoid double counting, the associated ODI impact should be deducted from the PCD rate.
</t>
    </r>
    <r>
      <rPr>
        <sz val="11"/>
        <rFont val="Calibri"/>
        <family val="2"/>
        <scheme val="minor"/>
      </rPr>
      <t>ODI impact = ODI rate £1,292,778 / 2280 = £567</t>
    </r>
  </si>
  <si>
    <t>modelled reduction in total spills</t>
  </si>
  <si>
    <t>PCD - WINEP storm overflow screens</t>
  </si>
  <si>
    <t>Number of overflows where the aesthatic impact of storm overflow discharges has been reduced through the installation of screens</t>
  </si>
  <si>
    <t>Number of storm overflows screened</t>
  </si>
  <si>
    <t>We will report screens installations throug the APR.  EA/OIU process will confirm project delivery</t>
  </si>
  <si>
    <t>screens</t>
  </si>
  <si>
    <t>PCD - Adavnced WINEP</t>
  </si>
  <si>
    <t>Our proposed PCD metric is the equivalent cubic metres of conventional storage avoided through interventions delivered in AMP8.</t>
  </si>
  <si>
    <t>Equivalent hectares disconnected (Ha) multiplied by the volume that 1 Ha of SuDS saves (m3/Ha) us from building as conventional storage = equivalent conventional storage avoided (m3).  This will be reported annually via the APR.</t>
  </si>
  <si>
    <t xml:space="preserve">In line with our APR process, independent assessment and assurance of completed milestones and forecast of likely outturn position at the end of March 2030. </t>
  </si>
  <si>
    <t>Assume zero because benefits will be realised over the long-term, with only a minor impact in AMP8.</t>
  </si>
  <si>
    <t>m3 equivalent storage</t>
  </si>
  <si>
    <t>PCD - WINEP Phosphorus Removal</t>
  </si>
  <si>
    <t>Delivery of the AMP8 WINEP programme for P-removal.</t>
  </si>
  <si>
    <t xml:space="preserve">Design population served by WwTW with an enhanced phosphorus requirement being delivered in AMP8 WINEP as detailed in CWW19.  The lag between investment and delivery is explained by the fact that these schemes are major construction projects which are completed over multiple years.
</t>
  </si>
  <si>
    <t>Successful completion of WINEP Enhancement schemes for phosphorus reduction is assured internally through review of evidence compiled by delivery partner / Engineering and External assurance is by the Environment Agency confirming completion and updating the WINEP Tracker to reflect the date the output was claimed. Generation of an associated output in use (OIU) certificate and evidence pack. This will also be reported through APR.</t>
  </si>
  <si>
    <t>Excludes Wigan and Skelmersdale schemes for 0.25mg/l P this is subject to a separate PCD due to the nature of this scheme for more detail see the WINEP Final Effluent limits - WINEP Optimisation document. This PCD does not include costs associated with the catchment nutrient balancing.</t>
  </si>
  <si>
    <t>Late delivery or non delivery of schemes will result in penalty against discharge permit compliance and river water quality PCs</t>
  </si>
  <si>
    <t>PE</t>
  </si>
  <si>
    <t>PCD - WINEP sanitary parameters</t>
  </si>
  <si>
    <t>Improvement in treatment efficacy at WwTW for sanitary parameters: Ammonia, BOD and Suspended solids delivering a reduction in contaminant load to aquatic environments.</t>
  </si>
  <si>
    <r>
      <t>Company should deliver the improvement in treatment efficacy benefits for the sanitary parameters specified at the W</t>
    </r>
    <r>
      <rPr>
        <sz val="11"/>
        <rFont val="Calibri"/>
        <family val="2"/>
        <scheme val="minor"/>
      </rPr>
      <t>wTWs listed or equivalent schemes with comparable benefit, in line with the profile in the Company Business plan to deliver WINEP requirements. The lag between investment and delivery is explained by the fact that these schemes are major construction projects which are completed over multiple years.</t>
    </r>
  </si>
  <si>
    <t>Successful completion of WINEP Enhancement schemes for sanitary parameters is assured internally through review of evidence compiled by delivery partner / Engineering and External assurance is by the Environment Agency confirming completion and updating the WINEP Tracker to reflect the date the output was claimed. Generation of an associated output in use (OIU) certificate and evidence pack. This will also be reported through APR</t>
  </si>
  <si>
    <t>Excludes Davyhulme BOD and Wigan ammonia schemes. These are subject to a separate PCD due to the nature of the schemes, for more detail see the WINEP Final Effluent limits - WINEP Optimisation document.</t>
  </si>
  <si>
    <t>Failure to deliver will impact on the discharge permit compliance PC
number of WwTW 385, 1 WwTW is 0.260%, ODI rate for 1% is £2,880,000  19 WwTW, average PE per scheme is 40,243
1 PE = £18.588</t>
  </si>
  <si>
    <t>PCD - WINEP flow monitors</t>
  </si>
  <si>
    <t>Delivery of 94 U_MON4 flow monitors capable of recording flows passed forward to treatment every 2 minutes and delivery of continuous water quality monitoring of the receiving watercourse upstream and downstream of storm overflows and wastewater treatment works discharge outlets to help understand the impact of discharges on the receiving environment.</t>
  </si>
  <si>
    <t>Company should deliver the number of monitors in line with the profiling of the WINEP. The PCD will report on the number of monitors delivered in year for flow monitors (excluding third party certification of meters).</t>
  </si>
  <si>
    <t>Successful completion of WINEP Enhancement schemes for wastewater monitoring is assured internally through review of evidence compiled by delivery partner / Engineering and External assurance is by the Environment Agency confirming completion and updating the WINEP Tracker to reflect the date the output was claimed. Generation of an associated output in use (OIU) certificate and evidence pack. This will also be reported through APR</t>
  </si>
  <si>
    <t>monitors</t>
  </si>
  <si>
    <t>PCD - WINEP continuous water monitoring</t>
  </si>
  <si>
    <t>Delivery of 600 continuous water quality monitors to continuous water quality monitoring of the receiving watercourse upstream and downstream of storm overflows and wastewater treatment works discharge outlets to help understand the impact of discharges on the receiving environment.</t>
  </si>
  <si>
    <t>Company should deliver the number of monitors in line with the profiling of the WINEP. The PCD will report on the number of monitors delivered in year for continuous water quality monitors (excluding third party certification of meters).</t>
  </si>
  <si>
    <t>PCD - WINEP Manchester Ship Canal BOD scheme (DPC)</t>
  </si>
  <si>
    <r>
      <t>Successful delivery of a DP</t>
    </r>
    <r>
      <rPr>
        <sz val="11"/>
        <rFont val="Calibri"/>
        <family val="2"/>
        <scheme val="minor"/>
      </rPr>
      <t xml:space="preserve">C procurement of the BOD schemes for Salford, Sale and Stockport, </t>
    </r>
    <r>
      <rPr>
        <sz val="11"/>
        <color theme="1"/>
        <rFont val="Calibri"/>
        <family val="2"/>
        <scheme val="minor"/>
      </rPr>
      <t>resulting in the appointment of a competitively appointed provider (CAP). Split into 3 milestones:
 - Stage 2: Gain consent on procurement plans, commercial model and designation of the project
 - Stage 3: Gain consent to procure the project
 - Stage 4: Gain consent to enter into a CAP Agreement</t>
    </r>
  </si>
  <si>
    <t>Output measured by UUW achieving Ofwat consent to proceed to the next stage of activity. 
Ofwat will be notified of UUW progress through the defined stage review process as set out in Ofwat’s latest DPC guidance.</t>
  </si>
  <si>
    <t>Each milestone is completed with Ofwat's confirmed consent.</t>
  </si>
  <si>
    <t>If at any point the project exits the DPC process (and hence is subject to a DPC IDoK), then this PCD and any remaining milestones will be rescinded. The DPC IDoK will ensure customers are protected against any appropriate change in efficient costs.</t>
  </si>
  <si>
    <t>milestones</t>
  </si>
  <si>
    <t>PCD - WINEP Davyhulme 6 BOD</t>
  </si>
  <si>
    <t>Deliver enhancement to meet the needs of the AMP8 WINEP for 6mg/l BOD at Davyhulme WwTW</t>
  </si>
  <si>
    <t xml:space="preserve">We have calculated the cumulative PCD deliverables based on delivery of the scheme in AMP8. As stated in the enhancment case delivery of this project is not acheivable within the AMP8 period. We have proportioned the milestones as 20% for Contract Award, 40% Start on Site and 40% Project in Use.
We propose the completion of site schemes will be reported through the APR process. Whilst this tables do not currently allow for project milestone delivery, this additional detail could be set out in table commentary.
No delivery completion is forecast in year 1 this year will be spent in design and definition project phase, and tendering contracts. </t>
  </si>
  <si>
    <t>In line with EA guidance completion of an action will require the live WINEP/NEP to have been signed off by UUW with the relevant Output in Use evidence pack uploaded to the EA WINEP SharePoint. The EA will then also need to sign the live WINEP/NEP to confirm they are happy that the scheme has been completed. For schemes with a regulatory date of 31st March the EA have until 15th May in order to review the evidence and sign-off. EA sign-off provides third party assurance.</t>
  </si>
  <si>
    <t>We have assumed no impact, given our expectation of a deferral to the compliance dta. If that is not the case, then delays to this scheme would impact the tratement works compliance PCL and hence lead to a penalty of [£xm] per annum.</t>
  </si>
  <si>
    <t>% delivered</t>
  </si>
  <si>
    <t>PCD - Wigan &amp; Skelmersdale 0.25P &amp; 1ammo</t>
  </si>
  <si>
    <t>Deliver enhancement to meet the needs of the AMP8 WINEP for 0.25mg/l Phosphorus at Wigan and Skelmersdale WwTW and 1mg/l ammonia at Wigan WwTW</t>
  </si>
  <si>
    <t xml:space="preserve">We have calculated the cumulative PCD deliverables based on delivery of the scheme in AMP8. As stated in the enhancment case delivery of this project is not acheivable within the AMP8 period. We have proportioned the milestones as 20% for Contract Award, 40% Start on Site and 40% Project in Use.
We propose the completion of site schemes will be reported through the APR process. Whilst this tables do not currently allow for project milestone delivery, this additional detail could be set out in table commentary.
No delivery completion is forecast in year 1 this year will be spent in design and definition project phase, and tendering contracts. 
</t>
  </si>
  <si>
    <t>PCD - wastewater supply demand</t>
  </si>
  <si>
    <r>
      <t>Delivering an increase in wastewater treatment capacity, capable of treating an additio</t>
    </r>
    <r>
      <rPr>
        <sz val="11"/>
        <rFont val="Calibri"/>
        <family val="2"/>
        <scheme val="minor"/>
      </rPr>
      <t>nal 61,736 PE</t>
    </r>
    <r>
      <rPr>
        <sz val="11"/>
        <color rgb="FFFF0000"/>
        <rFont val="Calibri"/>
        <family val="2"/>
        <scheme val="minor"/>
      </rPr>
      <t xml:space="preserve"> </t>
    </r>
    <r>
      <rPr>
        <sz val="11"/>
        <color theme="1"/>
        <rFont val="Calibri"/>
        <family val="2"/>
        <scheme val="minor"/>
      </rPr>
      <t>by the end of AMP8.</t>
    </r>
  </si>
  <si>
    <t>Project completion, weighted by the PE of capacity increased for each project. There are 12 projects that will deliver the PE capacity increase, each of which has a delivery date which will be tracked quarterly. Project sign off process will include review of evidence that required PE growth has been delivered. Subject to regulatory reporting through APR</t>
  </si>
  <si>
    <t>OIU process and reporting in APR</t>
  </si>
  <si>
    <t>Failure to deliver will impact on the discharge permit compliance PC
number of WwTW 385, 1 WwTW is 0.260%, ODI rate for 1% is £2,880,000  12 WwTW, average PE per scheme is 5145
1 PE = £145.40</t>
  </si>
  <si>
    <t>PE of capacity increased</t>
  </si>
  <si>
    <t>PCD - rainwater management</t>
  </si>
  <si>
    <t>Delivery of 29,941 m3 of equivalent storage capacity through sustainable rainwater water management measures across the North West. This will primarily be delivered through Sustainable Drainage Systems (SuDS) covering 75.5 hectares (754,521 square metres) and increased network capacity. This will be delivered by the end of AMP8, phased across the final three years of the AMP (2027 – 2030).</t>
  </si>
  <si>
    <r>
      <t xml:space="preserve">Delivery of 29,941 m3 of equivalent storage capacity through the use of SuDS and increased network capacity. Equivalent storage capacity of SuDS will be measured as potential maximum volume to be stored in a 1 in 30 year rainfall event. The analysis is not hydrodynamic, but instead applies a fixed total event rainfall depth to the source areas to estimate the required volume of surface water runoff needed to be stored within SuDS. For the purpose of the DWMP assessment, a 30 year plus climate change (CC) rainfall depth (31.5mm) was applied. I.e. total storage equivalent = 754,521m2 * 31.5mm / 1000 =23,767.4m3 equivalent storage from SUDS, plus </t>
    </r>
    <r>
      <rPr>
        <sz val="11"/>
        <rFont val="Calibri"/>
        <family val="2"/>
        <scheme val="minor"/>
      </rPr>
      <t>6,174m3 equivalent storage from increased network storage.</t>
    </r>
  </si>
  <si>
    <t>Assume zero because benefits will be realised over the long-term, with only a minor impact in AMP8. The aim of the rainwater management enhancement case is to help offset deterioration is baseline performance due to climate change and improve resilience across future AMPs. The in-AMP benefits for internal sewer flooding are therefore limited.</t>
  </si>
  <si>
    <t>m3 storage equivalent</t>
  </si>
  <si>
    <t>PCD - Bioresources WINEP</t>
  </si>
  <si>
    <t>Improvement to the resilience of the supply chain to agriculture</t>
  </si>
  <si>
    <t xml:space="preserve">Final product storage will deliver increased resilience of the supply chain to agriculture against in-year disruption. Measuring the outcome in “days of final product storage capacity” enables flexibility and innovation in outcome delivery. We have discounted using a fixed storage volume as an outcome, as it would be inflexible and lead to a sole focus on building storage, whereas alternative interventions could provide greater value.
Final product storage is a calculation based on the quantity of sludge despatched to agriculture and quantity of final product storage capacity:
60 days final product storage capacity=(sludge dispatched to agriculture (wet tonnes))/(365 days)*60
Our target is to deliver 60.00 “days of final product storage capacity” (to 2d.p.). We have used our forecast sludge to agriculture at 2030 as a baseline target and this will be reviewed each year. 
We will report PCD performance to Ofwat as an additional item as part of our Annual Performance Reporting (APR) process. The outcome may be delivered at one or more sites and delivery will be measured on 31 March each year, as demonstrated through either a Project in Use output for UU delivered solutions or third party assurance for market delivered solutions. </t>
  </si>
  <si>
    <t xml:space="preserve">We will report PCD performance to Ofwat as an additional item as part of our APR process. We will not rely on the standard WINEP outcome reporting approach as the outcome is for the full 60.00 days to be delivered by 31 March 2030, and this will not provide an annual report of delivery progress. </t>
  </si>
  <si>
    <t>days</t>
  </si>
  <si>
    <t>PCD - Bioresources enhancment (screening)</t>
  </si>
  <si>
    <r>
      <t xml:space="preserve">Sludge </t>
    </r>
    <r>
      <rPr>
        <sz val="11"/>
        <rFont val="Calibri"/>
        <family val="2"/>
        <scheme val="minor"/>
      </rPr>
      <t>that has been fine screened.</t>
    </r>
  </si>
  <si>
    <r>
      <t xml:space="preserve">The outcome is for 100% of our sludge </t>
    </r>
    <r>
      <rPr>
        <sz val="11"/>
        <rFont val="Calibri"/>
        <family val="2"/>
        <scheme val="minor"/>
      </rPr>
      <t>to be fine screened to ensure that levels of non-degradable physical contaminants in biosolids as low as possible. There is a direct relationship between installing the fine screen capacity and the delivery of the outcome for customers. 
Sludge treatment centre throughput (TDS) is used to calculate the percentage contribution of each site to delivering the outcome of 100% of sludge that has been fine screened. We have used our 2022 baseline of sludge treatment centre throughput as a baseline target and this will be reviewed each year. 100% delivery of the PCD demonstrates all incumbent sludge across the region has been fine screened.
We will report PCD performance to Ofwat as an additional item as part of our Annual Performance Reporting (APR) process. Performance will be measured on 31 March each year, and will be demonstrated through a Project in Use output.
Sludge is managed as a system and the PCD outcome (Sludge that has been fine screened) will be delivered if screening capacity is in place anywhere within the system i.e. at the site of production, treatment or distribution to agriculture. This provides opportunities for flexibility, market delivery and innovation in the delivery of the outcome.</t>
    </r>
  </si>
  <si>
    <t>We will report (and assure) PCD performance to Ofwat as an additional item as part of our APR process. Project in Use outputs will be used as evidence to confirm delivery of the PCD outcome.</t>
  </si>
  <si>
    <t>PCD - net zero</t>
  </si>
  <si>
    <t>Delivery of operational GHG emissions reduction. The proposed PCD will be aligned to the eight projects submitted as net zero enhancement projects, outside the net zero challenge. This includes stationary fossil fuel reductions, transport fossil fuel reductions - green fleet LCVs phase 1, transport fossil fuel reductions - Green fleet LCVs phase 2, transport fossil fuel reductions - green fleet Biomethane HGVs, property emissions reductions, peatland restoration, woodland and net zero catchment strategy. 
The total AMP8 Totex value for these projects included within this PCD is £67.6 million. Note: year 5 presents a minus cost value due to the decreasing capex profile (majority of the capex is profiled at the start of AMP8 so the emissions reduction benefits can be realised) and the opex benefits received from projects such as green fleet.</t>
  </si>
  <si>
    <t xml:space="preserve">Tonnes of carbon dioxide equivalent (tCO2e). This consistent unit enables comparison between projects within the PCD, even though their methodologies and delivery mechanisms are different.
GHG emissions reductions will be reported and monitored through our annual APR reporting.
The PCD will be measured once at the end of AMP8 and will not continue into AMP9
We will undertake projects that deliver the total tCO2e referenced in this PCD (85,806 tCO2e) based on the expected GHG emissions benefit we will deliver. As each project is completed we will confirm the expected benefit. In the event of any variance in scope the updated tCO2e value will be calculated. </t>
  </si>
  <si>
    <r>
      <t xml:space="preserve">Measurement of the PCD will be independently verified by an expert third party. Assurance will provide confidence that the output has been delivered and these meet the forecast benefits of the work or equivalent where there is variance in scope. 
Note: Following current best practice in a fast evolving area, the tCO2e from peatland restoration and woodland creation will be provided as "Pending </t>
    </r>
    <r>
      <rPr>
        <sz val="11"/>
        <rFont val="Calibri"/>
        <family val="2"/>
        <scheme val="minor"/>
      </rPr>
      <t>Issuance Units" at the end of AMP8 with Carbon Units available (for use against reportable emissions) from 2032 for Woodland and 2035 for Peatland. Following restoration, the peatland and woodland projects will be evaluated against the Peatland/Woodland Carbon Code by an approved validation body (e.g. Natural England). 
A second layer of customer protection is provided for the six projects which align to the delivery of the two common operational GHG emissions PCs for water and wastewater (stationary fossil fuel reductions, transport fossil fuel reductions - green fleet LCVs phase 1, transport fossil fuel reductions - green fleet LCVs phase 2, transport fossil fuel reductions - green fleet Biomethane HGVs, property emissions reductions and net zero catchment strategy), therefore adding a financial and reputational penalty for under performance. The company takes the risk on cost increases beyond the funds identified in this programme to deliver the forecast benefit.</t>
    </r>
  </si>
  <si>
    <t>None.</t>
  </si>
  <si>
    <t>82.65% of the total emissions under this PCD (85,806 tCO2e) will impact the common PC for operational GHG emissions in AMP8. The remaining 16.35% of emissions from peatland restoration and woodland creation are excluded as reportable carbon units are not available until AMP9 (therefore no impact on the common PC for operational GHG emissions). ODI impact  = 82.65% of full GHG ODI rate (£130) = £107.44.</t>
  </si>
  <si>
    <t>tCO2e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</si>
</sst>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_ ;\-#,##0\ "/>
    <numFmt numFmtId="166" formatCode="_-* #,##0.0_-;\-* #,##0.0_-;_-* &quot;-&quot;??_-;_-@_-"/>
    <numFmt numFmtId="167" formatCode="_-* #,##0.0000_-;\-* #,##0.0000_-;_-* &quot;-&quot;??_-;_-@_-"/>
    <numFmt numFmtId="168" formatCode="_-&quot;£&quot;* #,##0_-;\-&quot;£&quot;* #,##0_-;_-&quot;£&quot;* &quot;-&quot;??_-;_-@_-"/>
  </numFmts>
  <fonts count="24"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i/>
      <sz val="11"/>
      <color theme="1"/>
      <name val="Calibri"/>
      <family val="2"/>
      <scheme val="minor"/>
    </font>
    <font>
      <b/>
      <sz val="10.5"/>
      <color rgb="FFFFFFFF"/>
      <name val="Calibri"/>
      <family val="2"/>
    </font>
    <font>
      <sz val="10.5"/>
      <color rgb="FF000000"/>
      <name val="Calibri"/>
      <family val="2"/>
    </font>
    <font>
      <sz val="11"/>
      <color rgb="FF000000"/>
      <name val="Calibri"/>
      <family val="2"/>
    </font>
    <font>
      <sz val="11"/>
      <color theme="1"/>
      <name val="Arial"/>
      <family val="2"/>
    </font>
    <font>
      <u/>
      <sz val="11"/>
      <color theme="10"/>
      <name val="Calibri"/>
      <family val="2"/>
      <scheme val="minor"/>
    </font>
    <font>
      <strike/>
      <sz val="11"/>
      <name val="Calibri"/>
      <family val="2"/>
      <scheme val="minor"/>
    </font>
    <font>
      <b/>
      <sz val="14"/>
      <name val="Calibri"/>
      <family val="2"/>
      <scheme val="minor"/>
    </font>
    <font>
      <b/>
      <sz val="10.5"/>
      <color rgb="FF000000"/>
      <name val="Calibri"/>
      <family val="2"/>
    </font>
    <font>
      <b/>
      <sz val="11"/>
      <color rgb="FF000000"/>
      <name val="Calibri"/>
      <family val="2"/>
    </font>
    <font>
      <b/>
      <sz val="11"/>
      <name val="Calibri"/>
      <family val="2"/>
      <scheme val="minor"/>
    </font>
    <font>
      <b/>
      <sz val="11"/>
      <color rgb="FFFF0000"/>
      <name val="Calibri"/>
      <family val="2"/>
      <scheme val="minor"/>
    </font>
    <font>
      <b/>
      <sz val="11"/>
      <color indexed="8"/>
      <name val="Calibri"/>
      <family val="2"/>
      <scheme val="minor"/>
    </font>
    <font>
      <b/>
      <i/>
      <sz val="11"/>
      <color theme="0" tint="-0.34998626667073579"/>
      <name val="Calibri"/>
      <family val="2"/>
      <scheme val="minor"/>
    </font>
    <font>
      <i/>
      <sz val="11"/>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8542"/>
        <bgColor indexed="64"/>
      </patternFill>
    </fill>
    <fill>
      <patternFill patternType="solid">
        <fgColor rgb="FFCBD9CF"/>
        <bgColor indexed="64"/>
      </patternFill>
    </fill>
    <fill>
      <patternFill patternType="solid">
        <fgColor rgb="FFE7EDE9"/>
        <bgColor indexed="64"/>
      </patternFill>
    </fill>
    <fill>
      <patternFill patternType="solid">
        <fgColor rgb="FF00B0F0"/>
        <bgColor indexed="64"/>
      </patternFill>
    </fill>
  </fills>
  <borders count="16">
    <border>
      <left/>
      <right/>
      <top/>
      <bottom/>
      <diagonal/>
    </border>
    <border>
      <left/>
      <right/>
      <top style="thin">
        <color indexed="64"/>
      </top>
      <bottom style="double">
        <color indexed="64"/>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medium">
        <color rgb="FFFFFFFF"/>
      </top>
      <bottom/>
      <diagonal/>
    </border>
    <border>
      <left style="medium">
        <color rgb="FFFFFFFF"/>
      </left>
      <right/>
      <top/>
      <bottom style="thick">
        <color rgb="FFFFFFF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FFFF"/>
      </left>
      <right style="medium">
        <color rgb="FFFFFFFF"/>
      </right>
      <top style="medium">
        <color rgb="FFFFFFFF"/>
      </top>
      <bottom style="thick">
        <color rgb="FFFFFFFF"/>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cellStyleXfs>
  <cellXfs count="124">
    <xf numFmtId="0" fontId="0" fillId="0" borderId="0" xfId="0"/>
    <xf numFmtId="0" fontId="0" fillId="0" borderId="0" xfId="0" applyAlignment="1">
      <alignment vertical="center"/>
    </xf>
    <xf numFmtId="0" fontId="2" fillId="0" borderId="0" xfId="0" applyFont="1" applyAlignment="1">
      <alignment vertical="center"/>
    </xf>
    <xf numFmtId="4" fontId="0" fillId="0" borderId="0" xfId="0" applyNumberFormat="1" applyAlignment="1">
      <alignment horizontal="center" vertical="center"/>
    </xf>
    <xf numFmtId="0" fontId="0" fillId="0" borderId="0" xfId="0" applyAlignment="1">
      <alignment vertical="center" wrapText="1"/>
    </xf>
    <xf numFmtId="0" fontId="1" fillId="0" borderId="0" xfId="0" applyFont="1" applyAlignment="1">
      <alignment vertical="center"/>
    </xf>
    <xf numFmtId="4" fontId="1" fillId="0" borderId="0" xfId="0" applyNumberFormat="1" applyFont="1" applyAlignment="1">
      <alignment horizontal="center" vertical="center"/>
    </xf>
    <xf numFmtId="0" fontId="1" fillId="0" borderId="0" xfId="0" applyFont="1" applyAlignment="1">
      <alignment vertical="center" wrapText="1"/>
    </xf>
    <xf numFmtId="0" fontId="0" fillId="0" borderId="1" xfId="0" applyBorder="1" applyAlignment="1">
      <alignment vertical="center"/>
    </xf>
    <xf numFmtId="4" fontId="1" fillId="0" borderId="1" xfId="0" applyNumberFormat="1"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4" borderId="0" xfId="0" applyFill="1" applyAlignment="1">
      <alignment vertical="center" wrapText="1"/>
    </xf>
    <xf numFmtId="164" fontId="0" fillId="0" borderId="0" xfId="1" applyNumberFormat="1" applyFont="1" applyAlignment="1">
      <alignment vertical="center"/>
    </xf>
    <xf numFmtId="164" fontId="0" fillId="2" borderId="0" xfId="1" applyNumberFormat="1" applyFont="1" applyFill="1" applyAlignment="1">
      <alignment vertical="center"/>
    </xf>
    <xf numFmtId="164" fontId="0" fillId="3" borderId="0" xfId="1" applyNumberFormat="1" applyFont="1" applyFill="1" applyAlignment="1">
      <alignment vertical="center"/>
    </xf>
    <xf numFmtId="164" fontId="0" fillId="0" borderId="1" xfId="1" applyNumberFormat="1" applyFont="1" applyBorder="1" applyAlignment="1">
      <alignment vertical="center"/>
    </xf>
    <xf numFmtId="0" fontId="1" fillId="0" borderId="0" xfId="1" applyNumberFormat="1" applyFont="1" applyAlignment="1">
      <alignment vertical="center"/>
    </xf>
    <xf numFmtId="10" fontId="0" fillId="5" borderId="0" xfId="0" applyNumberFormat="1" applyFill="1" applyAlignment="1">
      <alignment horizontal="center" vertical="center"/>
    </xf>
    <xf numFmtId="10" fontId="0" fillId="2" borderId="0" xfId="2" applyNumberFormat="1" applyFont="1" applyFill="1" applyAlignment="1">
      <alignment horizontal="center" vertical="center"/>
    </xf>
    <xf numFmtId="43" fontId="0" fillId="0" borderId="0" xfId="1" applyFont="1" applyAlignment="1">
      <alignment vertical="center"/>
    </xf>
    <xf numFmtId="164" fontId="1" fillId="0" borderId="0" xfId="1" applyNumberFormat="1" applyFont="1" applyAlignment="1">
      <alignment horizontal="center" vertical="center"/>
    </xf>
    <xf numFmtId="2" fontId="0" fillId="2" borderId="0" xfId="0" applyNumberFormat="1" applyFill="1" applyAlignment="1">
      <alignment horizontal="center" vertical="center"/>
    </xf>
    <xf numFmtId="3" fontId="0" fillId="0" borderId="0" xfId="0" applyNumberFormat="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10" fontId="0" fillId="0" borderId="0" xfId="2" applyNumberFormat="1" applyFont="1" applyAlignment="1">
      <alignment horizontal="center" vertical="center"/>
    </xf>
    <xf numFmtId="43" fontId="0" fillId="2" borderId="0" xfId="1" applyFont="1" applyFill="1" applyAlignment="1">
      <alignment vertical="center"/>
    </xf>
    <xf numFmtId="0" fontId="1" fillId="0" borderId="1" xfId="0" applyFont="1" applyBorder="1" applyAlignment="1">
      <alignment vertical="center"/>
    </xf>
    <xf numFmtId="3" fontId="0" fillId="2" borderId="0" xfId="1" applyNumberFormat="1" applyFont="1" applyFill="1" applyAlignment="1">
      <alignment vertical="center"/>
    </xf>
    <xf numFmtId="165" fontId="0" fillId="2" borderId="0" xfId="1" applyNumberFormat="1" applyFont="1" applyFill="1" applyAlignment="1">
      <alignment vertical="center"/>
    </xf>
    <xf numFmtId="165" fontId="0" fillId="0" borderId="0" xfId="1" applyNumberFormat="1" applyFont="1" applyAlignment="1">
      <alignment vertical="center"/>
    </xf>
    <xf numFmtId="164" fontId="1" fillId="0" borderId="12" xfId="1" applyNumberFormat="1" applyFont="1" applyBorder="1" applyAlignment="1">
      <alignment horizontal="center" vertical="center" wrapText="1"/>
    </xf>
    <xf numFmtId="0" fontId="6" fillId="0" borderId="0" xfId="0" applyFont="1" applyAlignment="1">
      <alignment horizontal="center" vertical="center"/>
    </xf>
    <xf numFmtId="0" fontId="8" fillId="6" borderId="14" xfId="0" applyFont="1" applyFill="1" applyBorder="1" applyAlignment="1">
      <alignment horizontal="left" vertical="center" wrapText="1" readingOrder="1"/>
    </xf>
    <xf numFmtId="0" fontId="9" fillId="7" borderId="2" xfId="0" applyFont="1" applyFill="1" applyBorder="1" applyAlignment="1">
      <alignment horizontal="left" vertical="center" wrapText="1" readingOrder="1"/>
    </xf>
    <xf numFmtId="0" fontId="9" fillId="8" borderId="3" xfId="0" applyFont="1" applyFill="1" applyBorder="1" applyAlignment="1">
      <alignment horizontal="left" vertical="center" wrapText="1" readingOrder="1"/>
    </xf>
    <xf numFmtId="0" fontId="9" fillId="7" borderId="3" xfId="0" applyFont="1" applyFill="1" applyBorder="1" applyAlignment="1">
      <alignment horizontal="left" vertical="center" wrapText="1" readingOrder="1"/>
    </xf>
    <xf numFmtId="14" fontId="9" fillId="7" borderId="2" xfId="0" applyNumberFormat="1" applyFont="1" applyFill="1" applyBorder="1" applyAlignment="1">
      <alignment horizontal="left" vertical="center" wrapText="1" readingOrder="1"/>
    </xf>
    <xf numFmtId="14" fontId="9" fillId="8" borderId="3" xfId="0" applyNumberFormat="1" applyFont="1" applyFill="1" applyBorder="1" applyAlignment="1">
      <alignment horizontal="left" vertical="center" wrapText="1" readingOrder="1"/>
    </xf>
    <xf numFmtId="14" fontId="9" fillId="7" borderId="3" xfId="0" applyNumberFormat="1" applyFont="1" applyFill="1" applyBorder="1" applyAlignment="1">
      <alignment horizontal="left" vertical="center" wrapText="1" readingOrder="1"/>
    </xf>
    <xf numFmtId="0" fontId="8" fillId="6" borderId="9" xfId="0" applyFont="1" applyFill="1" applyBorder="1" applyAlignment="1">
      <alignment horizontal="left" vertical="center" wrapText="1" readingOrder="1"/>
    </xf>
    <xf numFmtId="0" fontId="8" fillId="6" borderId="2" xfId="0" applyFont="1" applyFill="1" applyBorder="1" applyAlignment="1">
      <alignment horizontal="left" vertical="center" wrapText="1" readingOrder="1"/>
    </xf>
    <xf numFmtId="0" fontId="9" fillId="8" borderId="2" xfId="0" applyFont="1" applyFill="1" applyBorder="1" applyAlignment="1">
      <alignment horizontal="left" vertical="center" wrapText="1" readingOrder="1"/>
    </xf>
    <xf numFmtId="2" fontId="10" fillId="8" borderId="3" xfId="0" applyNumberFormat="1" applyFont="1" applyFill="1" applyBorder="1" applyAlignment="1">
      <alignment horizontal="center" wrapText="1" readingOrder="1"/>
    </xf>
    <xf numFmtId="2" fontId="10" fillId="7" borderId="3" xfId="0" applyNumberFormat="1" applyFont="1" applyFill="1" applyBorder="1" applyAlignment="1">
      <alignment horizontal="center" wrapText="1" readingOrder="1"/>
    </xf>
    <xf numFmtId="0" fontId="4" fillId="0" borderId="0" xfId="0" applyFont="1" applyAlignment="1">
      <alignment vertical="center"/>
    </xf>
    <xf numFmtId="166" fontId="0" fillId="0" borderId="0" xfId="1" applyNumberFormat="1" applyFont="1" applyAlignment="1">
      <alignment vertical="center"/>
    </xf>
    <xf numFmtId="167" fontId="0" fillId="0" borderId="0" xfId="1" applyNumberFormat="1" applyFont="1" applyAlignment="1">
      <alignment vertical="center"/>
    </xf>
    <xf numFmtId="165" fontId="0" fillId="0" borderId="13" xfId="1" applyNumberFormat="1" applyFont="1" applyBorder="1" applyAlignment="1">
      <alignment horizontal="center" vertical="center"/>
    </xf>
    <xf numFmtId="4" fontId="7" fillId="0" borderId="0" xfId="0" applyNumberFormat="1" applyFont="1" applyAlignment="1">
      <alignment horizontal="center" vertical="center"/>
    </xf>
    <xf numFmtId="164" fontId="4" fillId="2" borderId="0" xfId="1" applyNumberFormat="1" applyFont="1" applyFill="1" applyAlignment="1">
      <alignment vertical="center"/>
    </xf>
    <xf numFmtId="164" fontId="4" fillId="0" borderId="0" xfId="1" applyNumberFormat="1" applyFont="1" applyAlignment="1">
      <alignment vertical="center"/>
    </xf>
    <xf numFmtId="0" fontId="2" fillId="0" borderId="0" xfId="3" applyFont="1" applyAlignment="1">
      <alignment vertical="center"/>
    </xf>
    <xf numFmtId="9" fontId="0" fillId="2" borderId="0" xfId="2" applyFont="1" applyFill="1" applyAlignment="1">
      <alignment vertical="center"/>
    </xf>
    <xf numFmtId="165" fontId="0" fillId="2" borderId="0" xfId="1" applyNumberFormat="1" applyFont="1" applyFill="1" applyAlignment="1">
      <alignment horizontal="center" vertical="center"/>
    </xf>
    <xf numFmtId="165" fontId="4" fillId="0" borderId="0" xfId="1" applyNumberFormat="1" applyFont="1" applyAlignment="1">
      <alignment vertical="center"/>
    </xf>
    <xf numFmtId="43" fontId="1" fillId="0" borderId="13" xfId="1" applyFont="1" applyBorder="1" applyAlignment="1">
      <alignment horizontal="center" vertical="center"/>
    </xf>
    <xf numFmtId="3" fontId="1" fillId="0" borderId="13" xfId="1" applyNumberFormat="1" applyFont="1" applyBorder="1" applyAlignment="1">
      <alignment horizontal="center" vertical="center"/>
    </xf>
    <xf numFmtId="3" fontId="0" fillId="0" borderId="0" xfId="1" applyNumberFormat="1" applyFont="1" applyAlignment="1">
      <alignment vertical="center"/>
    </xf>
    <xf numFmtId="4" fontId="1" fillId="0" borderId="13" xfId="1" applyNumberFormat="1" applyFont="1" applyBorder="1" applyAlignment="1">
      <alignment horizontal="center" vertical="center"/>
    </xf>
    <xf numFmtId="0" fontId="12" fillId="0" borderId="0" xfId="6" applyAlignment="1">
      <alignment horizontal="center" vertical="center"/>
    </xf>
    <xf numFmtId="164" fontId="5" fillId="2" borderId="0" xfId="1" applyNumberFormat="1" applyFont="1" applyFill="1" applyAlignment="1">
      <alignment vertical="center"/>
    </xf>
    <xf numFmtId="9" fontId="0" fillId="2" borderId="0" xfId="1" applyNumberFormat="1" applyFont="1" applyFill="1" applyAlignment="1">
      <alignment vertical="center"/>
    </xf>
    <xf numFmtId="3" fontId="5" fillId="0" borderId="0" xfId="0" applyNumberFormat="1" applyFont="1" applyAlignment="1">
      <alignment horizontal="center" vertical="center"/>
    </xf>
    <xf numFmtId="3" fontId="4" fillId="0" borderId="0" xfId="1" applyNumberFormat="1" applyFont="1" applyAlignment="1">
      <alignment vertical="center"/>
    </xf>
    <xf numFmtId="3" fontId="0" fillId="0" borderId="0" xfId="0" applyNumberFormat="1" applyAlignment="1">
      <alignment vertical="center"/>
    </xf>
    <xf numFmtId="4" fontId="0" fillId="0" borderId="0" xfId="0" applyNumberFormat="1" applyAlignment="1">
      <alignment vertical="center"/>
    </xf>
    <xf numFmtId="0" fontId="3" fillId="0" borderId="0" xfId="0" applyFont="1"/>
    <xf numFmtId="2" fontId="5" fillId="2" borderId="0" xfId="0" applyNumberFormat="1" applyFont="1" applyFill="1" applyAlignment="1">
      <alignment horizontal="center" vertical="center"/>
    </xf>
    <xf numFmtId="164" fontId="1" fillId="0" borderId="0" xfId="1" applyNumberFormat="1" applyFont="1" applyAlignment="1">
      <alignment vertical="center" wrapText="1"/>
    </xf>
    <xf numFmtId="164" fontId="4" fillId="3" borderId="0" xfId="1" applyNumberFormat="1" applyFont="1" applyFill="1" applyAlignment="1">
      <alignment vertical="center"/>
    </xf>
    <xf numFmtId="168" fontId="0" fillId="2" borderId="0" xfId="0" applyNumberFormat="1" applyFill="1" applyAlignment="1">
      <alignment vertical="center"/>
    </xf>
    <xf numFmtId="0" fontId="14" fillId="0" borderId="0" xfId="0" applyFont="1" applyAlignment="1">
      <alignment vertical="center"/>
    </xf>
    <xf numFmtId="0" fontId="0" fillId="0" borderId="0" xfId="0" applyAlignment="1">
      <alignment horizontal="left" vertical="center"/>
    </xf>
    <xf numFmtId="0" fontId="1" fillId="0" borderId="15" xfId="0" applyFont="1" applyBorder="1" applyAlignment="1">
      <alignment horizontal="center" vertical="center"/>
    </xf>
    <xf numFmtId="164" fontId="0" fillId="0" borderId="15" xfId="1" applyNumberFormat="1" applyFont="1" applyBorder="1" applyAlignment="1">
      <alignment vertical="center" wrapText="1"/>
    </xf>
    <xf numFmtId="0" fontId="0" fillId="0" borderId="15" xfId="0" applyBorder="1" applyAlignment="1">
      <alignment horizontal="center" vertical="center"/>
    </xf>
    <xf numFmtId="164" fontId="0" fillId="0" borderId="15" xfId="1" applyNumberFormat="1" applyFont="1" applyBorder="1" applyAlignment="1">
      <alignment vertical="center"/>
    </xf>
    <xf numFmtId="0" fontId="15" fillId="7" borderId="3" xfId="0" applyFont="1" applyFill="1" applyBorder="1" applyAlignment="1">
      <alignment horizontal="left" vertical="center" wrapText="1" readingOrder="1"/>
    </xf>
    <xf numFmtId="1" fontId="10" fillId="8" borderId="3" xfId="0" applyNumberFormat="1" applyFont="1" applyFill="1" applyBorder="1" applyAlignment="1">
      <alignment horizontal="center" wrapText="1" readingOrder="1"/>
    </xf>
    <xf numFmtId="1" fontId="10" fillId="7" borderId="3" xfId="0" applyNumberFormat="1" applyFont="1" applyFill="1" applyBorder="1" applyAlignment="1">
      <alignment horizontal="center" wrapText="1" readingOrder="1"/>
    </xf>
    <xf numFmtId="1" fontId="16" fillId="7" borderId="3" xfId="0" applyNumberFormat="1" applyFont="1" applyFill="1" applyBorder="1" applyAlignment="1">
      <alignment horizontal="center" wrapText="1" readingOrder="1"/>
    </xf>
    <xf numFmtId="0" fontId="17" fillId="2" borderId="0" xfId="0" applyFont="1" applyFill="1" applyAlignment="1">
      <alignment horizontal="center" vertical="center"/>
    </xf>
    <xf numFmtId="4" fontId="1" fillId="2" borderId="0" xfId="1" applyNumberFormat="1" applyFont="1" applyFill="1" applyAlignment="1">
      <alignment vertical="center"/>
    </xf>
    <xf numFmtId="2" fontId="1" fillId="2" borderId="0" xfId="0" applyNumberFormat="1" applyFont="1" applyFill="1" applyAlignment="1">
      <alignment vertical="center"/>
    </xf>
    <xf numFmtId="164" fontId="1" fillId="2" borderId="0" xfId="1" applyNumberFormat="1" applyFont="1" applyFill="1" applyAlignment="1">
      <alignment vertical="center"/>
    </xf>
    <xf numFmtId="43" fontId="1" fillId="2" borderId="0" xfId="1" applyFont="1" applyFill="1" applyAlignment="1">
      <alignment vertical="center"/>
    </xf>
    <xf numFmtId="164" fontId="1" fillId="0" borderId="0" xfId="1" applyNumberFormat="1" applyFont="1" applyAlignment="1">
      <alignment vertical="center"/>
    </xf>
    <xf numFmtId="164" fontId="18" fillId="2" borderId="0" xfId="1" applyNumberFormat="1" applyFont="1" applyFill="1" applyAlignment="1">
      <alignment vertical="center"/>
    </xf>
    <xf numFmtId="0" fontId="17" fillId="2" borderId="0" xfId="0" applyFont="1" applyFill="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7" fillId="2" borderId="0" xfId="0" applyFont="1" applyFill="1" applyAlignment="1">
      <alignment horizontal="left" vertical="top" wrapText="1"/>
    </xf>
    <xf numFmtId="164" fontId="17" fillId="2" borderId="0" xfId="1" applyNumberFormat="1" applyFont="1" applyFill="1" applyAlignment="1">
      <alignment vertical="center"/>
    </xf>
    <xf numFmtId="0" fontId="17" fillId="2" borderId="0" xfId="0" applyFont="1" applyFill="1" applyAlignment="1">
      <alignment horizontal="center" vertical="top" wrapText="1"/>
    </xf>
    <xf numFmtId="165" fontId="1" fillId="2" borderId="0" xfId="1" applyNumberFormat="1" applyFont="1" applyFill="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 fillId="0" borderId="0" xfId="0" applyFont="1" applyAlignment="1">
      <alignment horizontal="left" vertical="center"/>
    </xf>
    <xf numFmtId="0" fontId="19" fillId="0" borderId="0" xfId="0" applyFont="1" applyAlignment="1">
      <alignment horizontal="left" vertical="center"/>
    </xf>
    <xf numFmtId="1" fontId="1" fillId="2" borderId="0" xfId="2" applyNumberFormat="1" applyFont="1" applyFill="1" applyAlignment="1">
      <alignment vertical="center"/>
    </xf>
    <xf numFmtId="1" fontId="1" fillId="0" borderId="13" xfId="2" applyNumberFormat="1" applyFont="1" applyBorder="1" applyAlignment="1">
      <alignment horizontal="center" vertical="center"/>
    </xf>
    <xf numFmtId="10" fontId="0" fillId="2" borderId="0" xfId="0" applyNumberFormat="1" applyFill="1" applyAlignment="1">
      <alignment horizontal="center" vertical="center"/>
    </xf>
    <xf numFmtId="0" fontId="20" fillId="0" borderId="0" xfId="0" applyFont="1" applyAlignment="1">
      <alignment horizontal="center" vertical="center"/>
    </xf>
    <xf numFmtId="3" fontId="21" fillId="0" borderId="0" xfId="0" applyNumberFormat="1" applyFont="1" applyAlignment="1">
      <alignment horizontal="center" vertical="center"/>
    </xf>
    <xf numFmtId="0" fontId="22" fillId="0" borderId="0" xfId="0" applyFont="1" applyAlignment="1">
      <alignment horizontal="center" vertical="center"/>
    </xf>
    <xf numFmtId="3" fontId="23" fillId="0" borderId="0" xfId="0" applyNumberFormat="1" applyFont="1" applyAlignment="1">
      <alignment horizontal="center" vertical="center"/>
    </xf>
    <xf numFmtId="0" fontId="0" fillId="9" borderId="0" xfId="0" applyFill="1"/>
    <xf numFmtId="0" fontId="0" fillId="0" borderId="0" xfId="0" applyAlignment="1">
      <alignment horizontal="left" vertical="center" wrapText="1"/>
    </xf>
    <xf numFmtId="0" fontId="5" fillId="0" borderId="0" xfId="0" applyFont="1" applyAlignment="1">
      <alignment horizontal="left" vertical="center" wrapText="1"/>
    </xf>
    <xf numFmtId="0" fontId="8" fillId="6" borderId="4" xfId="0" applyFont="1" applyFill="1" applyBorder="1" applyAlignment="1">
      <alignment horizontal="left" vertical="center" wrapText="1" readingOrder="1"/>
    </xf>
    <xf numFmtId="0" fontId="8" fillId="6" borderId="5" xfId="0" applyFont="1" applyFill="1" applyBorder="1" applyAlignment="1">
      <alignment horizontal="left" vertical="center" wrapText="1" readingOrder="1"/>
    </xf>
    <xf numFmtId="0" fontId="8" fillId="6" borderId="10" xfId="0" applyFont="1" applyFill="1" applyBorder="1" applyAlignment="1">
      <alignment horizontal="left" vertical="center" wrapText="1" readingOrder="1"/>
    </xf>
    <xf numFmtId="0" fontId="8" fillId="6" borderId="11" xfId="0" applyFont="1" applyFill="1" applyBorder="1" applyAlignment="1">
      <alignment horizontal="left" vertical="center" wrapText="1" readingOrder="1"/>
    </xf>
    <xf numFmtId="0" fontId="8" fillId="6" borderId="6" xfId="0" applyFont="1" applyFill="1" applyBorder="1" applyAlignment="1">
      <alignment horizontal="center" vertical="center" wrapText="1" readingOrder="1"/>
    </xf>
    <xf numFmtId="0" fontId="8" fillId="6" borderId="7" xfId="0" applyFont="1" applyFill="1" applyBorder="1" applyAlignment="1">
      <alignment horizontal="center" vertical="center" wrapText="1" readingOrder="1"/>
    </xf>
    <xf numFmtId="0" fontId="8" fillId="6" borderId="8" xfId="0" applyFont="1" applyFill="1" applyBorder="1" applyAlignment="1">
      <alignment horizontal="center" vertical="center" wrapText="1" readingOrder="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top" wrapText="1"/>
    </xf>
    <xf numFmtId="0" fontId="13" fillId="0" borderId="0" xfId="0" applyFont="1" applyAlignment="1">
      <alignment horizontal="left" vertical="center" wrapText="1"/>
    </xf>
  </cellXfs>
  <cellStyles count="7">
    <cellStyle name="Comma" xfId="1" builtinId="3"/>
    <cellStyle name="Comma 2" xfId="4"/>
    <cellStyle name="Hyperlink" xfId="6" builtinId="8"/>
    <cellStyle name="Normal" xfId="0" builtinId="0"/>
    <cellStyle name="Normal 2" xfId="3"/>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142876</xdr:rowOff>
    </xdr:from>
    <xdr:to>
      <xdr:col>10</xdr:col>
      <xdr:colOff>600075</xdr:colOff>
      <xdr:row>10</xdr:row>
      <xdr:rowOff>76201</xdr:rowOff>
    </xdr:to>
    <xdr:sp macro="" textlink="">
      <xdr:nvSpPr>
        <xdr:cNvPr id="2" name="TextBox 2">
          <a:extLst>
            <a:ext uri="{FF2B5EF4-FFF2-40B4-BE49-F238E27FC236}">
              <a16:creationId xmlns:a16="http://schemas.microsoft.com/office/drawing/2014/main" xmlns="" id="{00000000-0008-0000-0000-000002000000}"/>
            </a:ext>
          </a:extLst>
        </xdr:cNvPr>
        <xdr:cNvSpPr txBox="1"/>
      </xdr:nvSpPr>
      <xdr:spPr>
        <a:xfrm>
          <a:off x="727075" y="498476"/>
          <a:ext cx="7137400" cy="1533525"/>
        </a:xfrm>
        <a:prstGeom prst="rect">
          <a:avLst/>
        </a:prstGeom>
        <a:solidFill>
          <a:schemeClr val="bg1"/>
        </a:solidFill>
        <a:ln>
          <a:noFill/>
        </a:ln>
      </xdr:spPr>
      <xdr:txBody>
        <a:bodyPr lIns="27432" tIns="22860" rIns="0" bIns="0" rtlCol="0"/>
        <a:lstStyle/>
        <a:p>
          <a:pPr algn="l"/>
          <a:r>
            <a:rPr lang="en-US" sz="1100" b="1">
              <a:latin typeface="+mn-lt"/>
            </a:rPr>
            <a:t>UUW32</a:t>
          </a:r>
        </a:p>
        <a:p>
          <a:pPr algn="l"/>
          <a:r>
            <a:rPr lang="en-US" sz="1100" b="1">
              <a:latin typeface="+mn-lt"/>
            </a:rPr>
            <a:t>PCD</a:t>
          </a:r>
          <a:r>
            <a:rPr lang="en-US" sz="1100" b="1" baseline="0">
              <a:latin typeface="+mn-lt"/>
            </a:rPr>
            <a:t> excel</a:t>
          </a:r>
          <a:endParaRPr lang="en-US" sz="1100" b="1">
            <a:latin typeface="+mn-lt"/>
          </a:endParaRPr>
        </a:p>
        <a:p>
          <a:pPr algn="l"/>
          <a:endParaRPr lang="en-US" sz="1100" b="1">
            <a:latin typeface="+mn-lt"/>
          </a:endParaRPr>
        </a:p>
        <a:p>
          <a:r>
            <a:rPr lang="en-GB" b="1"/>
            <a:t>October 2023 </a:t>
          </a:r>
        </a:p>
        <a:p>
          <a:endParaRPr lang="en-GB" b="1"/>
        </a:p>
        <a:p>
          <a:r>
            <a:rPr lang="en-GB" b="1"/>
            <a:t>Chapter 5 supplementary document </a:t>
          </a:r>
        </a:p>
        <a:p>
          <a:r>
            <a:rPr lang="en-GB"/>
            <a:t>This document provides our proposals for price control deliverables (PCDs) to be applied to relevant enhancement</a:t>
          </a:r>
          <a:r>
            <a:rPr lang="en-GB" baseline="0"/>
            <a:t> programmes and cost adjustment claims, </a:t>
          </a:r>
          <a:r>
            <a:rPr lang="en-GB"/>
            <a:t>and how we</a:t>
          </a:r>
          <a:r>
            <a:rPr lang="en-GB" baseline="0"/>
            <a:t> propose that they should be calculated.</a:t>
          </a:r>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K11"/>
  <sheetViews>
    <sheetView zoomScale="112" zoomScaleNormal="112" workbookViewId="0"/>
  </sheetViews>
  <sheetFormatPr defaultRowHeight="15" x14ac:dyDescent="0.25"/>
  <sheetData>
    <row r="2" spans="1:11" x14ac:dyDescent="0.25">
      <c r="A2" s="109"/>
      <c r="B2" s="109"/>
      <c r="C2" s="109"/>
      <c r="D2" s="109"/>
      <c r="E2" s="109"/>
      <c r="F2" s="109"/>
      <c r="G2" s="109"/>
      <c r="H2" s="109"/>
      <c r="I2" s="109"/>
      <c r="J2" s="109"/>
      <c r="K2" s="109"/>
    </row>
    <row r="3" spans="1:11" x14ac:dyDescent="0.25">
      <c r="A3" s="109"/>
      <c r="B3" s="109"/>
      <c r="C3" s="109"/>
      <c r="D3" s="109"/>
      <c r="E3" s="109"/>
      <c r="F3" s="109"/>
      <c r="G3" s="109"/>
      <c r="H3" s="109"/>
      <c r="I3" s="109"/>
      <c r="J3" s="109"/>
      <c r="K3" s="109"/>
    </row>
    <row r="4" spans="1:11" x14ac:dyDescent="0.25">
      <c r="A4" s="109"/>
      <c r="B4" s="109"/>
      <c r="C4" s="109"/>
      <c r="D4" s="109"/>
      <c r="E4" s="109"/>
      <c r="F4" s="109"/>
      <c r="G4" s="109"/>
      <c r="H4" s="109"/>
      <c r="I4" s="109"/>
      <c r="J4" s="109"/>
      <c r="K4" s="109"/>
    </row>
    <row r="5" spans="1:11" x14ac:dyDescent="0.25">
      <c r="A5" s="109"/>
      <c r="B5" s="109"/>
      <c r="C5" s="109"/>
      <c r="D5" s="109"/>
      <c r="E5" s="109"/>
      <c r="F5" s="109"/>
      <c r="G5" s="109"/>
      <c r="H5" s="109"/>
      <c r="I5" s="109"/>
      <c r="J5" s="109"/>
      <c r="K5" s="109"/>
    </row>
    <row r="6" spans="1:11" x14ac:dyDescent="0.25">
      <c r="A6" s="109"/>
      <c r="B6" s="109"/>
      <c r="C6" s="109"/>
      <c r="D6" s="109"/>
      <c r="E6" s="109"/>
      <c r="F6" s="109"/>
      <c r="G6" s="109"/>
      <c r="H6" s="109"/>
      <c r="I6" s="109"/>
      <c r="J6" s="109"/>
      <c r="K6" s="109"/>
    </row>
    <row r="7" spans="1:11" x14ac:dyDescent="0.25">
      <c r="A7" s="109"/>
      <c r="B7" s="109"/>
      <c r="C7" s="109"/>
      <c r="D7" s="109"/>
      <c r="E7" s="109"/>
      <c r="F7" s="109"/>
      <c r="G7" s="109"/>
      <c r="H7" s="109"/>
      <c r="I7" s="109"/>
      <c r="J7" s="109"/>
      <c r="K7" s="109"/>
    </row>
    <row r="8" spans="1:11" x14ac:dyDescent="0.25">
      <c r="A8" s="109"/>
      <c r="B8" s="109"/>
      <c r="C8" s="109"/>
      <c r="D8" s="109"/>
      <c r="E8" s="109"/>
      <c r="F8" s="109"/>
      <c r="G8" s="109"/>
      <c r="H8" s="109"/>
      <c r="I8" s="109"/>
      <c r="J8" s="109"/>
      <c r="K8" s="109"/>
    </row>
    <row r="9" spans="1:11" x14ac:dyDescent="0.25">
      <c r="A9" s="109"/>
      <c r="B9" s="109"/>
      <c r="C9" s="109"/>
      <c r="D9" s="109"/>
      <c r="E9" s="109"/>
      <c r="F9" s="109"/>
      <c r="G9" s="109"/>
      <c r="H9" s="109"/>
      <c r="I9" s="109"/>
      <c r="J9" s="109"/>
      <c r="K9" s="109"/>
    </row>
    <row r="10" spans="1:11" x14ac:dyDescent="0.25">
      <c r="A10" s="109"/>
      <c r="B10" s="109"/>
      <c r="C10" s="109"/>
      <c r="D10" s="109"/>
      <c r="E10" s="109"/>
      <c r="F10" s="109"/>
      <c r="G10" s="109"/>
      <c r="H10" s="109"/>
      <c r="I10" s="109"/>
      <c r="J10" s="109"/>
      <c r="K10" s="109"/>
    </row>
    <row r="11" spans="1:11" x14ac:dyDescent="0.25">
      <c r="A11" s="109"/>
      <c r="B11" s="109"/>
      <c r="C11" s="109"/>
      <c r="D11" s="109"/>
      <c r="E11" s="109"/>
      <c r="F11" s="109"/>
      <c r="G11" s="109"/>
      <c r="H11" s="109"/>
      <c r="I11" s="109"/>
      <c r="J11" s="109"/>
      <c r="K11" s="109"/>
    </row>
  </sheetData>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tabSelected="1" zoomScale="112" zoomScaleNormal="112" workbookViewId="0">
      <pane xSplit="2" ySplit="1" topLeftCell="C2" activePane="bottomRight" state="frozen"/>
      <selection pane="topRight" activeCell="I44" sqref="I44"/>
      <selection pane="bottomLeft" activeCell="I44" sqref="I44"/>
      <selection pane="bottomRight" activeCell="O8" sqref="O8"/>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5" width="11.85546875" style="14" customWidth="1"/>
    <col min="6" max="6" width="15.570312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182</v>
      </c>
    </row>
    <row r="3" spans="1:13" x14ac:dyDescent="0.25">
      <c r="A3" s="5" t="s">
        <v>76</v>
      </c>
    </row>
    <row r="4" spans="1:13" ht="42.6" customHeight="1" x14ac:dyDescent="0.25">
      <c r="B4" s="1" t="s">
        <v>77</v>
      </c>
      <c r="C4" s="110" t="s">
        <v>183</v>
      </c>
      <c r="D4" s="110"/>
      <c r="E4" s="110"/>
      <c r="F4" s="110"/>
      <c r="G4" s="110"/>
      <c r="H4" s="110"/>
      <c r="I4" s="110"/>
      <c r="J4" s="110"/>
      <c r="K4" s="110"/>
      <c r="L4" s="110"/>
    </row>
    <row r="5" spans="1:13" ht="63.6" customHeight="1" x14ac:dyDescent="0.25">
      <c r="B5" s="1" t="s">
        <v>79</v>
      </c>
      <c r="C5" s="110" t="s">
        <v>184</v>
      </c>
      <c r="D5" s="110"/>
      <c r="E5" s="110"/>
      <c r="F5" s="110"/>
      <c r="G5" s="110"/>
      <c r="H5" s="110"/>
      <c r="I5" s="110"/>
      <c r="J5" s="110"/>
      <c r="K5" s="110"/>
      <c r="L5" s="110"/>
    </row>
    <row r="6" spans="1:13" ht="61.35" customHeight="1" x14ac:dyDescent="0.25">
      <c r="B6" s="1" t="s">
        <v>81</v>
      </c>
      <c r="C6" s="110" t="s">
        <v>185</v>
      </c>
      <c r="D6" s="110"/>
      <c r="E6" s="110"/>
      <c r="F6" s="110"/>
      <c r="G6" s="110"/>
      <c r="H6" s="110"/>
      <c r="I6" s="110"/>
      <c r="J6" s="110"/>
      <c r="K6" s="110"/>
      <c r="L6" s="110"/>
    </row>
    <row r="7" spans="1:13" x14ac:dyDescent="0.25">
      <c r="B7" s="1" t="s">
        <v>83</v>
      </c>
      <c r="C7" s="110" t="s">
        <v>84</v>
      </c>
      <c r="D7" s="110"/>
      <c r="E7" s="110"/>
      <c r="F7" s="110"/>
      <c r="G7" s="110"/>
      <c r="H7" s="110"/>
      <c r="I7" s="110"/>
      <c r="J7" s="110"/>
      <c r="K7" s="110"/>
      <c r="L7" s="110"/>
    </row>
    <row r="8" spans="1:13" ht="64.349999999999994" customHeight="1" x14ac:dyDescent="0.25">
      <c r="B8" s="1" t="s">
        <v>85</v>
      </c>
      <c r="C8" s="110" t="s">
        <v>186</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45.75" thickBot="1" x14ac:dyDescent="0.3">
      <c r="B11" s="5" t="s">
        <v>88</v>
      </c>
      <c r="C11" s="91" t="s">
        <v>187</v>
      </c>
      <c r="D11" s="11"/>
      <c r="E11" s="87">
        <v>129.80000000000001</v>
      </c>
      <c r="F11" s="87">
        <v>473.06439470999999</v>
      </c>
      <c r="G11" s="87">
        <v>3268.3643947099999</v>
      </c>
      <c r="H11" s="87">
        <v>7602.8275618799998</v>
      </c>
      <c r="I11" s="87">
        <v>19818.919445009997</v>
      </c>
      <c r="J11" s="87">
        <v>28804.612507059992</v>
      </c>
      <c r="K11" s="87">
        <v>29638.612507059996</v>
      </c>
      <c r="L11" s="59">
        <f>K11</f>
        <v>29638.612507059996</v>
      </c>
      <c r="M11" s="93"/>
    </row>
    <row r="12" spans="1:13" x14ac:dyDescent="0.25">
      <c r="B12" s="1" t="s">
        <v>10</v>
      </c>
      <c r="C12" s="10" t="s">
        <v>11</v>
      </c>
      <c r="D12" s="24">
        <f>SUM(E12:K12)</f>
        <v>2339849667.7928095</v>
      </c>
      <c r="E12" s="15">
        <v>50941672.853342161</v>
      </c>
      <c r="F12" s="15">
        <v>132561148.23784325</v>
      </c>
      <c r="G12" s="15">
        <v>369451248.9195987</v>
      </c>
      <c r="H12" s="15">
        <v>573676162.68758166</v>
      </c>
      <c r="I12" s="15">
        <v>647102266.15110469</v>
      </c>
      <c r="J12" s="15">
        <v>472623940.02918458</v>
      </c>
      <c r="K12" s="15">
        <v>93493228.914154738</v>
      </c>
    </row>
    <row r="13" spans="1:13" x14ac:dyDescent="0.25">
      <c r="B13" s="1" t="s">
        <v>13</v>
      </c>
      <c r="C13" s="10" t="s">
        <v>11</v>
      </c>
      <c r="D13" s="24">
        <f>SUM(E13:K13)</f>
        <v>35981562.600458965</v>
      </c>
      <c r="E13" s="15">
        <v>0</v>
      </c>
      <c r="F13" s="15">
        <v>33918.552374321102</v>
      </c>
      <c r="G13" s="15">
        <v>135652.21497080944</v>
      </c>
      <c r="H13" s="15">
        <v>707776.0621427549</v>
      </c>
      <c r="I13" s="15">
        <v>4605659.0531474715</v>
      </c>
      <c r="J13" s="15">
        <v>10832544.523089914</v>
      </c>
      <c r="K13" s="15">
        <v>19666012.19473369</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£/modelled reduction in total spills</v>
      </c>
      <c r="D18" s="23">
        <v>567</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£/modelled reduction in total spills</v>
      </c>
      <c r="D27" s="106">
        <f>MAX(0,(D12+D13)/L11*D16-D18)</f>
        <v>39513.000874321282</v>
      </c>
      <c r="E27" s="24">
        <f>$D27*$D$21</f>
        <v>0</v>
      </c>
      <c r="F27" s="24">
        <f>$D27*$D$22</f>
        <v>0</v>
      </c>
      <c r="G27" s="24">
        <f>$D27*$D$23</f>
        <v>39513.000874321282</v>
      </c>
      <c r="H27" s="24">
        <f>$D27*$D$24*$D$17</f>
        <v>0</v>
      </c>
      <c r="I27" s="1"/>
      <c r="J27" s="1"/>
    </row>
    <row r="28" spans="1:10" x14ac:dyDescent="0.25">
      <c r="B28" s="1" t="s">
        <v>43</v>
      </c>
      <c r="C28" s="25" t="str">
        <f t="shared" si="0"/>
        <v>£/modelled reduction in total spills</v>
      </c>
      <c r="D28" s="106">
        <f>D27*D14</f>
        <v>1276.2699282405774</v>
      </c>
      <c r="E28" s="24">
        <f t="shared" ref="E28:E29" si="1">$D28*$D$21</f>
        <v>0</v>
      </c>
      <c r="F28" s="24">
        <f t="shared" ref="F28:F29" si="2">$D28*$D$22</f>
        <v>0</v>
      </c>
      <c r="G28" s="24">
        <f t="shared" ref="G28:G29" si="3">$D28*$D$23</f>
        <v>1276.2699282405774</v>
      </c>
      <c r="H28" s="24">
        <f>$D28*$D$24*$D$17</f>
        <v>0</v>
      </c>
      <c r="I28" s="1"/>
      <c r="J28" s="1"/>
    </row>
    <row r="29" spans="1:10" x14ac:dyDescent="0.25">
      <c r="B29" s="1" t="s">
        <v>45</v>
      </c>
      <c r="C29" s="25" t="str">
        <f t="shared" si="0"/>
        <v>£/modelled reduction in total spills</v>
      </c>
      <c r="D29" s="106">
        <f>MAX(0,((D12+D13)/L11)*D16*D15+D13*D16/SUM(E11:K11)-D18)+D28</f>
        <v>2312.5551714734056</v>
      </c>
      <c r="E29" s="24">
        <f t="shared" si="1"/>
        <v>0</v>
      </c>
      <c r="F29" s="24">
        <f t="shared" si="2"/>
        <v>0</v>
      </c>
      <c r="G29" s="24">
        <f t="shared" si="3"/>
        <v>2312.5551714734056</v>
      </c>
      <c r="H29" s="24">
        <f>$D29*$D$24*$D$17</f>
        <v>0</v>
      </c>
      <c r="I29" s="1"/>
      <c r="J29" s="1"/>
    </row>
    <row r="32" spans="1:10" x14ac:dyDescent="0.25">
      <c r="A32" s="5" t="s">
        <v>92</v>
      </c>
    </row>
    <row r="33" spans="1:12" x14ac:dyDescent="0.25">
      <c r="B33" s="1" t="s">
        <v>93</v>
      </c>
      <c r="E33" s="15">
        <v>129.80000000000001</v>
      </c>
      <c r="F33" s="15">
        <v>473.06439470999999</v>
      </c>
      <c r="G33" s="15">
        <v>3268.3643947099999</v>
      </c>
      <c r="H33" s="15">
        <v>7602.8275618799998</v>
      </c>
      <c r="I33" s="15">
        <v>19818.919445009997</v>
      </c>
      <c r="J33" s="15">
        <v>28804.612507059992</v>
      </c>
      <c r="K33" s="15">
        <v>29638.612507059996</v>
      </c>
      <c r="L33" s="15">
        <v>29638.612507059996</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188</v>
      </c>
    </row>
    <row r="3" spans="1:13" x14ac:dyDescent="0.25">
      <c r="A3" s="5" t="s">
        <v>76</v>
      </c>
    </row>
    <row r="4" spans="1:13" ht="16.350000000000001" customHeight="1" x14ac:dyDescent="0.25">
      <c r="B4" s="1" t="s">
        <v>77</v>
      </c>
      <c r="C4" s="110" t="s">
        <v>189</v>
      </c>
      <c r="D4" s="110"/>
      <c r="E4" s="110"/>
      <c r="F4" s="110"/>
      <c r="G4" s="110"/>
      <c r="H4" s="110"/>
      <c r="I4" s="110"/>
      <c r="J4" s="110"/>
      <c r="K4" s="110"/>
      <c r="L4" s="110"/>
    </row>
    <row r="5" spans="1:13" ht="18.600000000000001" customHeight="1" x14ac:dyDescent="0.25">
      <c r="B5" s="1" t="s">
        <v>79</v>
      </c>
      <c r="C5" s="110" t="s">
        <v>190</v>
      </c>
      <c r="D5" s="110"/>
      <c r="E5" s="110"/>
      <c r="F5" s="110"/>
      <c r="G5" s="110"/>
      <c r="H5" s="110"/>
      <c r="I5" s="110"/>
      <c r="J5" s="110"/>
      <c r="K5" s="110"/>
      <c r="L5" s="110"/>
    </row>
    <row r="6" spans="1:13" x14ac:dyDescent="0.25">
      <c r="B6" s="1" t="s">
        <v>81</v>
      </c>
      <c r="C6" s="110" t="s">
        <v>191</v>
      </c>
      <c r="D6" s="110"/>
      <c r="E6" s="110"/>
      <c r="F6" s="110"/>
      <c r="G6" s="110"/>
      <c r="H6" s="110"/>
      <c r="I6" s="110"/>
      <c r="J6" s="110"/>
      <c r="K6" s="110"/>
      <c r="L6" s="110"/>
    </row>
    <row r="7" spans="1:13" x14ac:dyDescent="0.25">
      <c r="B7" s="1" t="s">
        <v>83</v>
      </c>
      <c r="C7" s="110" t="s">
        <v>84</v>
      </c>
      <c r="D7" s="110"/>
      <c r="E7" s="110"/>
      <c r="F7" s="110"/>
      <c r="G7" s="110"/>
      <c r="H7" s="110"/>
      <c r="I7" s="110"/>
      <c r="J7" s="110"/>
      <c r="K7" s="110"/>
      <c r="L7" s="110"/>
    </row>
    <row r="8" spans="1:13" x14ac:dyDescent="0.25">
      <c r="B8" s="1" t="s">
        <v>85</v>
      </c>
      <c r="C8" s="110" t="s">
        <v>84</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91" t="s">
        <v>192</v>
      </c>
      <c r="D11" s="11"/>
      <c r="E11" s="87">
        <v>0</v>
      </c>
      <c r="F11" s="87">
        <v>3</v>
      </c>
      <c r="G11" s="87">
        <v>14</v>
      </c>
      <c r="H11" s="87">
        <v>54</v>
      </c>
      <c r="I11" s="87">
        <v>111</v>
      </c>
      <c r="J11" s="87">
        <v>246</v>
      </c>
      <c r="K11" s="87">
        <v>351</v>
      </c>
      <c r="L11" s="59">
        <f>K11</f>
        <v>351</v>
      </c>
    </row>
    <row r="12" spans="1:13" x14ac:dyDescent="0.25">
      <c r="B12" s="1" t="s">
        <v>10</v>
      </c>
      <c r="C12" s="10" t="s">
        <v>11</v>
      </c>
      <c r="D12" s="24">
        <f>SUM(E12:K12)</f>
        <v>478415440.53881741</v>
      </c>
      <c r="E12" s="15">
        <v>7857611.6697649667</v>
      </c>
      <c r="F12" s="15">
        <v>20723757.85789736</v>
      </c>
      <c r="G12" s="15">
        <v>80626355.890415683</v>
      </c>
      <c r="H12" s="15">
        <v>93046060.542164087</v>
      </c>
      <c r="I12" s="15">
        <v>140901228.39110053</v>
      </c>
      <c r="J12" s="15">
        <v>112044656.55815817</v>
      </c>
      <c r="K12" s="15">
        <v>23215769.629316598</v>
      </c>
    </row>
    <row r="13" spans="1:13" x14ac:dyDescent="0.25">
      <c r="B13" s="1" t="s">
        <v>13</v>
      </c>
      <c r="C13" s="10" t="s">
        <v>11</v>
      </c>
      <c r="D13" s="24">
        <f>SUM(E13:K13)</f>
        <v>5775475.2678730879</v>
      </c>
      <c r="E13" s="15">
        <v>0</v>
      </c>
      <c r="F13" s="15">
        <v>9046.0684311076984</v>
      </c>
      <c r="G13" s="15">
        <v>41414.369121495423</v>
      </c>
      <c r="H13" s="15">
        <v>206354.44842390728</v>
      </c>
      <c r="I13" s="15">
        <v>718479.12524546974</v>
      </c>
      <c r="J13" s="15">
        <v>1602029.0118706489</v>
      </c>
      <c r="K13" s="15">
        <v>3198152.2447804585</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£/screens</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£/screens</v>
      </c>
      <c r="D27" s="106">
        <f>MAX(0,(D12+D13)/L11*D16-D18)</f>
        <v>689730.64929727989</v>
      </c>
      <c r="E27" s="24">
        <f>$D27*$D$21</f>
        <v>0</v>
      </c>
      <c r="F27" s="24">
        <f>$D27*$D$22</f>
        <v>0</v>
      </c>
      <c r="G27" s="24">
        <f>$D27*$D$23</f>
        <v>689730.64929727989</v>
      </c>
      <c r="H27" s="24">
        <f>$D27*$D$24*$D$17</f>
        <v>0</v>
      </c>
      <c r="I27" s="1"/>
      <c r="J27" s="1"/>
    </row>
    <row r="28" spans="1:10" x14ac:dyDescent="0.25">
      <c r="B28" s="1" t="s">
        <v>43</v>
      </c>
      <c r="C28" s="25" t="str">
        <f t="shared" si="0"/>
        <v>£/screens</v>
      </c>
      <c r="D28" s="106">
        <f>D27*D14</f>
        <v>22278.299972302142</v>
      </c>
      <c r="E28" s="24">
        <f t="shared" ref="E28:E29" si="1">$D28*$D$21</f>
        <v>0</v>
      </c>
      <c r="F28" s="24">
        <f t="shared" ref="F28:F29" si="2">$D28*$D$22</f>
        <v>0</v>
      </c>
      <c r="G28" s="24">
        <f t="shared" ref="G28:G29" si="3">$D28*$D$23</f>
        <v>22278.299972302142</v>
      </c>
      <c r="H28" s="24">
        <f>$D28*$D$24*$D$17</f>
        <v>0</v>
      </c>
      <c r="I28" s="1"/>
      <c r="J28" s="1"/>
    </row>
    <row r="29" spans="1:10" x14ac:dyDescent="0.25">
      <c r="B29" s="1" t="s">
        <v>45</v>
      </c>
      <c r="C29" s="25" t="str">
        <f t="shared" si="0"/>
        <v>£/screens</v>
      </c>
      <c r="D29" s="106">
        <f>MAX(0,((D12+D13)/L11)*D16*D15+D13*D16/SUM(E11:K11)-D18)+D28</f>
        <v>50125.852972336652</v>
      </c>
      <c r="E29" s="24">
        <f t="shared" si="1"/>
        <v>0</v>
      </c>
      <c r="F29" s="24">
        <f t="shared" si="2"/>
        <v>0</v>
      </c>
      <c r="G29" s="24">
        <f t="shared" si="3"/>
        <v>50125.852972336652</v>
      </c>
      <c r="H29" s="24">
        <f>$D29*$D$24*$D$17</f>
        <v>0</v>
      </c>
      <c r="I29" s="1"/>
      <c r="J29" s="1"/>
    </row>
    <row r="32" spans="1:10" x14ac:dyDescent="0.25">
      <c r="A32" s="5" t="s">
        <v>92</v>
      </c>
    </row>
    <row r="33" spans="1:12" x14ac:dyDescent="0.25">
      <c r="B33" s="1" t="s">
        <v>93</v>
      </c>
      <c r="E33" s="15"/>
      <c r="F33" s="15">
        <v>3</v>
      </c>
      <c r="G33" s="15">
        <v>14</v>
      </c>
      <c r="H33" s="15">
        <v>54</v>
      </c>
      <c r="I33" s="15">
        <v>111</v>
      </c>
      <c r="J33" s="15">
        <v>246</v>
      </c>
      <c r="K33" s="15">
        <v>351</v>
      </c>
      <c r="L33" s="15">
        <v>351</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193</v>
      </c>
    </row>
    <row r="3" spans="1:13" x14ac:dyDescent="0.25">
      <c r="A3" s="5" t="s">
        <v>76</v>
      </c>
    </row>
    <row r="4" spans="1:13" x14ac:dyDescent="0.25">
      <c r="B4" s="1" t="s">
        <v>77</v>
      </c>
      <c r="C4" t="s">
        <v>194</v>
      </c>
      <c r="D4" s="69"/>
      <c r="E4" s="69"/>
      <c r="F4" s="69"/>
      <c r="G4" s="69"/>
      <c r="H4" s="69"/>
      <c r="I4" s="69"/>
      <c r="J4" s="69"/>
      <c r="K4" s="69"/>
      <c r="L4" s="69"/>
    </row>
    <row r="5" spans="1:13" ht="30.95" customHeight="1" x14ac:dyDescent="0.25">
      <c r="B5" s="1" t="s">
        <v>79</v>
      </c>
      <c r="C5" s="121" t="s">
        <v>195</v>
      </c>
      <c r="D5" s="122"/>
      <c r="E5" s="122"/>
      <c r="F5" s="122"/>
      <c r="G5" s="122"/>
      <c r="H5" s="122"/>
      <c r="I5" s="122"/>
      <c r="J5" s="122"/>
      <c r="K5" s="122"/>
      <c r="L5" s="122"/>
    </row>
    <row r="6" spans="1:13" ht="27.95" customHeight="1" x14ac:dyDescent="0.25">
      <c r="B6" s="1" t="s">
        <v>81</v>
      </c>
      <c r="C6" s="110" t="s">
        <v>196</v>
      </c>
      <c r="D6" s="120"/>
      <c r="E6" s="120"/>
      <c r="F6" s="120"/>
      <c r="G6" s="120"/>
      <c r="H6" s="120"/>
      <c r="I6" s="120"/>
      <c r="J6" s="120"/>
      <c r="K6" s="120"/>
      <c r="L6" s="120"/>
    </row>
    <row r="7" spans="1:13" x14ac:dyDescent="0.25">
      <c r="B7" s="1" t="s">
        <v>83</v>
      </c>
      <c r="C7" s="69" t="s">
        <v>84</v>
      </c>
      <c r="D7" s="69"/>
      <c r="E7" s="69"/>
      <c r="F7" s="69"/>
      <c r="G7" s="69"/>
      <c r="H7" s="69"/>
      <c r="I7" s="69"/>
      <c r="J7" s="69"/>
      <c r="K7" s="69"/>
      <c r="L7" s="69"/>
    </row>
    <row r="8" spans="1:13" x14ac:dyDescent="0.25">
      <c r="B8" s="1" t="s">
        <v>85</v>
      </c>
      <c r="C8" s="110" t="s">
        <v>197</v>
      </c>
      <c r="D8" s="120"/>
      <c r="E8" s="120"/>
      <c r="F8" s="120"/>
      <c r="G8" s="120"/>
      <c r="H8" s="120"/>
      <c r="I8" s="120"/>
      <c r="J8" s="120"/>
      <c r="K8" s="120"/>
      <c r="L8" s="12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45.75" thickBot="1" x14ac:dyDescent="0.3">
      <c r="B11" s="5" t="s">
        <v>88</v>
      </c>
      <c r="C11" s="91" t="s">
        <v>198</v>
      </c>
      <c r="D11" s="11"/>
      <c r="E11" s="87">
        <v>0</v>
      </c>
      <c r="F11" s="87">
        <v>0</v>
      </c>
      <c r="G11" s="87">
        <v>8086</v>
      </c>
      <c r="H11" s="87">
        <v>19682</v>
      </c>
      <c r="I11" s="87">
        <v>36476</v>
      </c>
      <c r="J11" s="87">
        <v>49517</v>
      </c>
      <c r="K11" s="87">
        <v>57796</v>
      </c>
      <c r="L11" s="59">
        <v>57796</v>
      </c>
    </row>
    <row r="12" spans="1:13" x14ac:dyDescent="0.25">
      <c r="B12" s="1" t="s">
        <v>10</v>
      </c>
      <c r="C12" s="10" t="s">
        <v>11</v>
      </c>
      <c r="D12" s="24">
        <f>SUM(E12:K12)</f>
        <v>197422463</v>
      </c>
      <c r="E12" s="15">
        <v>0</v>
      </c>
      <c r="F12" s="15">
        <v>3259593</v>
      </c>
      <c r="G12" s="15">
        <v>26668208</v>
      </c>
      <c r="H12" s="15">
        <v>40147986</v>
      </c>
      <c r="I12" s="15">
        <v>55419172</v>
      </c>
      <c r="J12" s="15">
        <v>44740421.000000015</v>
      </c>
      <c r="K12" s="15">
        <v>27187082.999999996</v>
      </c>
    </row>
    <row r="13" spans="1:13" x14ac:dyDescent="0.25">
      <c r="B13" s="1" t="s">
        <v>13</v>
      </c>
      <c r="C13" s="10" t="s">
        <v>11</v>
      </c>
      <c r="D13" s="24">
        <f>SUM(E13:K13)</f>
        <v>1433834.5960741239</v>
      </c>
      <c r="E13" s="15">
        <v>0</v>
      </c>
      <c r="F13" s="15">
        <v>0</v>
      </c>
      <c r="G13" s="15">
        <v>0</v>
      </c>
      <c r="H13" s="15">
        <v>43671.203282165377</v>
      </c>
      <c r="I13" s="15">
        <v>47831.074445064769</v>
      </c>
      <c r="J13" s="15">
        <v>264899.31787485059</v>
      </c>
      <c r="K13" s="15">
        <v>1077433.0004720432</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£/m3 equivalent storage</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£/m3 equivalent storage</v>
      </c>
      <c r="D27" s="106">
        <f>MAX(0,(D12+D13)/L11*D16-D18)</f>
        <v>1720.3292407439453</v>
      </c>
      <c r="E27" s="24">
        <f>$D27*$D$21</f>
        <v>0</v>
      </c>
      <c r="F27" s="24">
        <f>$D27*$D$22</f>
        <v>0</v>
      </c>
      <c r="G27" s="24">
        <f>$D27*$D$23</f>
        <v>1720.3292407439453</v>
      </c>
      <c r="H27" s="24">
        <f>$D27*$D$24*$D$17</f>
        <v>0</v>
      </c>
      <c r="I27" s="1"/>
      <c r="J27" s="1"/>
    </row>
    <row r="28" spans="1:10" x14ac:dyDescent="0.25">
      <c r="B28" s="1" t="s">
        <v>43</v>
      </c>
      <c r="C28" s="25" t="str">
        <f t="shared" si="0"/>
        <v>£/m3 equivalent storage</v>
      </c>
      <c r="D28" s="106">
        <f>D27*D14</f>
        <v>55.566634476029435</v>
      </c>
      <c r="E28" s="24">
        <f t="shared" ref="E28:E29" si="1">$D28*$D$21</f>
        <v>0</v>
      </c>
      <c r="F28" s="24">
        <f t="shared" ref="F28:F29" si="2">$D28*$D$22</f>
        <v>0</v>
      </c>
      <c r="G28" s="24">
        <f t="shared" ref="G28:G29" si="3">$D28*$D$23</f>
        <v>55.566634476029435</v>
      </c>
      <c r="H28" s="24">
        <f>$D28*$D$24*$D$17</f>
        <v>0</v>
      </c>
      <c r="I28" s="1"/>
      <c r="J28" s="1"/>
    </row>
    <row r="29" spans="1:10" x14ac:dyDescent="0.25">
      <c r="B29" s="1" t="s">
        <v>45</v>
      </c>
      <c r="C29" s="25" t="str">
        <f t="shared" si="0"/>
        <v>£/m3 equivalent storage</v>
      </c>
      <c r="D29" s="106">
        <f>MAX(0,((D12+D13)/L11)*D16*D15+D13*D16/SUM(E11:K11)-D18)+D28</f>
        <v>119.95704479118929</v>
      </c>
      <c r="E29" s="24">
        <f t="shared" si="1"/>
        <v>0</v>
      </c>
      <c r="F29" s="24">
        <f t="shared" si="2"/>
        <v>0</v>
      </c>
      <c r="G29" s="24">
        <f t="shared" si="3"/>
        <v>119.95704479118929</v>
      </c>
      <c r="H29" s="24">
        <f>$D29*$D$24*$D$17</f>
        <v>0</v>
      </c>
      <c r="I29" s="1"/>
      <c r="J29" s="1"/>
    </row>
    <row r="32" spans="1:10" x14ac:dyDescent="0.25">
      <c r="A32" s="5" t="s">
        <v>92</v>
      </c>
    </row>
    <row r="33" spans="1:12" x14ac:dyDescent="0.25">
      <c r="B33" s="1" t="s">
        <v>93</v>
      </c>
      <c r="E33" s="15"/>
      <c r="F33" s="15"/>
      <c r="G33" s="15">
        <v>8086</v>
      </c>
      <c r="H33" s="15">
        <v>19682</v>
      </c>
      <c r="I33" s="15">
        <v>36476</v>
      </c>
      <c r="J33" s="15">
        <v>49517</v>
      </c>
      <c r="K33" s="15">
        <v>57796</v>
      </c>
      <c r="L33" s="15">
        <v>57796</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3">
    <mergeCell ref="C6:L6"/>
    <mergeCell ref="C8:L8"/>
    <mergeCell ref="C5:L5"/>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8"/>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199</v>
      </c>
    </row>
    <row r="3" spans="1:13" x14ac:dyDescent="0.25">
      <c r="A3" s="5" t="s">
        <v>76</v>
      </c>
    </row>
    <row r="4" spans="1:13" ht="24.75" customHeight="1" x14ac:dyDescent="0.25">
      <c r="B4" s="1" t="s">
        <v>77</v>
      </c>
      <c r="C4" s="110" t="s">
        <v>200</v>
      </c>
      <c r="D4" s="110"/>
      <c r="E4" s="110"/>
      <c r="F4" s="110"/>
      <c r="G4" s="110"/>
      <c r="H4" s="110"/>
      <c r="I4" s="110"/>
      <c r="J4" s="110"/>
      <c r="K4" s="110"/>
      <c r="L4" s="110"/>
    </row>
    <row r="5" spans="1:13" ht="39" customHeight="1" x14ac:dyDescent="0.25">
      <c r="B5" s="1" t="s">
        <v>79</v>
      </c>
      <c r="C5" s="110" t="s">
        <v>201</v>
      </c>
      <c r="D5" s="110"/>
      <c r="E5" s="110"/>
      <c r="F5" s="110"/>
      <c r="G5" s="110"/>
      <c r="H5" s="110"/>
      <c r="I5" s="110"/>
      <c r="J5" s="110"/>
      <c r="K5" s="110"/>
      <c r="L5" s="110"/>
    </row>
    <row r="6" spans="1:13" ht="60.75" customHeight="1" x14ac:dyDescent="0.25">
      <c r="B6" s="1" t="s">
        <v>81</v>
      </c>
      <c r="C6" s="110" t="s">
        <v>202</v>
      </c>
      <c r="D6" s="110"/>
      <c r="E6" s="110"/>
      <c r="F6" s="110"/>
      <c r="G6" s="110"/>
      <c r="H6" s="110"/>
      <c r="I6" s="110"/>
      <c r="J6" s="110"/>
      <c r="K6" s="110"/>
      <c r="L6" s="110"/>
    </row>
    <row r="7" spans="1:13" ht="30.6" customHeight="1" x14ac:dyDescent="0.25">
      <c r="B7" s="1" t="s">
        <v>83</v>
      </c>
      <c r="C7" s="110" t="s">
        <v>203</v>
      </c>
      <c r="D7" s="110"/>
      <c r="E7" s="110"/>
      <c r="F7" s="110"/>
      <c r="G7" s="110"/>
      <c r="H7" s="110"/>
      <c r="I7" s="110"/>
      <c r="J7" s="110"/>
      <c r="K7" s="110"/>
      <c r="L7" s="110"/>
    </row>
    <row r="8" spans="1:13" ht="33.75" customHeight="1" x14ac:dyDescent="0.25">
      <c r="B8" s="1" t="s">
        <v>85</v>
      </c>
      <c r="C8" s="110" t="s">
        <v>204</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205</v>
      </c>
      <c r="D11" s="11"/>
      <c r="E11" s="90">
        <v>0</v>
      </c>
      <c r="F11" s="90">
        <v>0</v>
      </c>
      <c r="G11" s="90">
        <v>0</v>
      </c>
      <c r="H11" s="95">
        <v>12870</v>
      </c>
      <c r="I11" s="95">
        <v>46184</v>
      </c>
      <c r="J11" s="95">
        <v>230149</v>
      </c>
      <c r="K11" s="95">
        <v>3228553</v>
      </c>
      <c r="L11" s="59">
        <f>K11</f>
        <v>3228553</v>
      </c>
      <c r="M11" s="93"/>
    </row>
    <row r="12" spans="1:13" x14ac:dyDescent="0.25">
      <c r="B12" s="1" t="s">
        <v>10</v>
      </c>
      <c r="C12" s="10" t="s">
        <v>11</v>
      </c>
      <c r="D12" s="24">
        <f>SUM(E12:K12)</f>
        <v>559096335.24748385</v>
      </c>
      <c r="E12" s="15">
        <v>3339361.669012337</v>
      </c>
      <c r="F12" s="15">
        <v>10751916.536469631</v>
      </c>
      <c r="G12" s="15">
        <v>73391972.370103821</v>
      </c>
      <c r="H12" s="15">
        <v>119859291.14325145</v>
      </c>
      <c r="I12" s="15">
        <v>158633645.3109006</v>
      </c>
      <c r="J12" s="15">
        <v>156552684.59213513</v>
      </c>
      <c r="K12" s="15">
        <v>36567463.625610873</v>
      </c>
    </row>
    <row r="13" spans="1:13" x14ac:dyDescent="0.25">
      <c r="B13" s="1" t="s">
        <v>13</v>
      </c>
      <c r="C13" s="10" t="s">
        <v>11</v>
      </c>
      <c r="D13" s="24">
        <f>SUM(E13:K13)</f>
        <v>10298380.370801635</v>
      </c>
      <c r="E13" s="15">
        <v>0</v>
      </c>
      <c r="F13" s="15">
        <v>0</v>
      </c>
      <c r="G13" s="15">
        <v>0</v>
      </c>
      <c r="H13" s="15">
        <v>212709.15051329153</v>
      </c>
      <c r="I13" s="15">
        <v>1575569.7977444865</v>
      </c>
      <c r="J13" s="15">
        <v>3417330.3410473461</v>
      </c>
      <c r="K13" s="15">
        <v>5092771.0814965107</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£/PE</v>
      </c>
      <c r="D18" s="70">
        <v>96.5</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0.9647</v>
      </c>
    </row>
    <row r="24" spans="1:10" x14ac:dyDescent="0.25">
      <c r="B24" s="1" t="s">
        <v>33</v>
      </c>
      <c r="C24" s="10" t="s">
        <v>16</v>
      </c>
      <c r="D24" s="27">
        <f>1-SUM(D21:D23)</f>
        <v>3.5299999999999998E-2</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£/PE</v>
      </c>
      <c r="D27" s="106">
        <f>MAX(0,(D12+D13)/L11*D16-D18)</f>
        <v>0</v>
      </c>
      <c r="E27" s="24">
        <f>$D27*$D$21</f>
        <v>0</v>
      </c>
      <c r="F27" s="24">
        <f>$D27*$D$22</f>
        <v>0</v>
      </c>
      <c r="G27" s="24">
        <f>$D27*$D$23</f>
        <v>0</v>
      </c>
      <c r="H27" s="24">
        <f>$D27*$D$24*$D$17</f>
        <v>0</v>
      </c>
      <c r="I27" s="1"/>
      <c r="J27" s="1"/>
    </row>
    <row r="28" spans="1:10" x14ac:dyDescent="0.25">
      <c r="B28" s="1" t="s">
        <v>43</v>
      </c>
      <c r="C28" s="25" t="str">
        <f t="shared" si="0"/>
        <v>£/PE</v>
      </c>
      <c r="D28" s="106">
        <f>D27*D14</f>
        <v>0</v>
      </c>
      <c r="E28" s="24">
        <f t="shared" ref="E28:E29" si="1">$D28*$D$21</f>
        <v>0</v>
      </c>
      <c r="F28" s="24">
        <f t="shared" ref="F28:F29" si="2">$D28*$D$22</f>
        <v>0</v>
      </c>
      <c r="G28" s="24">
        <f t="shared" ref="G28:G29" si="3">$D28*$D$23</f>
        <v>0</v>
      </c>
      <c r="H28" s="24">
        <f>$D28*$D$24*$D$17</f>
        <v>0</v>
      </c>
      <c r="I28" s="1"/>
      <c r="J28" s="1"/>
    </row>
    <row r="29" spans="1:10" x14ac:dyDescent="0.25">
      <c r="B29" s="1" t="s">
        <v>45</v>
      </c>
      <c r="C29" s="25" t="str">
        <f t="shared" si="0"/>
        <v>£/PE</v>
      </c>
      <c r="D29" s="106">
        <f>MAX(0,((D12+D13)/L11)*D16*D15+D13*D16/SUM(E11:K11)-D18)+D28</f>
        <v>0</v>
      </c>
      <c r="E29" s="24">
        <f t="shared" si="1"/>
        <v>0</v>
      </c>
      <c r="F29" s="24">
        <f t="shared" si="2"/>
        <v>0</v>
      </c>
      <c r="G29" s="24">
        <f t="shared" si="3"/>
        <v>0</v>
      </c>
      <c r="H29" s="24">
        <f>$D29*$D$24*$D$17</f>
        <v>0</v>
      </c>
      <c r="I29" s="1"/>
      <c r="J29" s="1"/>
    </row>
    <row r="32" spans="1:10" x14ac:dyDescent="0.25">
      <c r="A32" s="5" t="s">
        <v>92</v>
      </c>
    </row>
    <row r="33" spans="1:12" x14ac:dyDescent="0.25">
      <c r="B33" s="1" t="s">
        <v>93</v>
      </c>
      <c r="E33" s="15"/>
      <c r="F33" s="15"/>
      <c r="G33" s="15">
        <v>0</v>
      </c>
      <c r="H33" s="63">
        <v>12870</v>
      </c>
      <c r="I33" s="63">
        <v>46184</v>
      </c>
      <c r="J33" s="63">
        <v>230149</v>
      </c>
      <c r="K33" s="63">
        <v>3228553</v>
      </c>
      <c r="L33" s="63">
        <v>3228553</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row r="60" spans="3:9" x14ac:dyDescent="0.25">
      <c r="C60"/>
      <c r="D60"/>
      <c r="E60"/>
      <c r="F60"/>
      <c r="G60"/>
      <c r="H60"/>
      <c r="I60"/>
    </row>
    <row r="61" spans="3:9" x14ac:dyDescent="0.25">
      <c r="C61"/>
      <c r="D61"/>
      <c r="E61"/>
      <c r="F61"/>
      <c r="G61"/>
      <c r="H61"/>
      <c r="I61"/>
    </row>
    <row r="62" spans="3:9" x14ac:dyDescent="0.25">
      <c r="C62"/>
      <c r="D62"/>
      <c r="E62"/>
      <c r="F62"/>
      <c r="G62"/>
      <c r="H62"/>
      <c r="I62"/>
    </row>
    <row r="63" spans="3:9" x14ac:dyDescent="0.25">
      <c r="C63"/>
      <c r="D63"/>
      <c r="E63"/>
      <c r="F63"/>
      <c r="G63"/>
      <c r="H63"/>
      <c r="I63"/>
    </row>
    <row r="64" spans="3:9" x14ac:dyDescent="0.25">
      <c r="C64"/>
      <c r="D64"/>
      <c r="E64"/>
      <c r="F64"/>
      <c r="G64"/>
      <c r="H64"/>
      <c r="I64"/>
    </row>
    <row r="65" spans="3:9" x14ac:dyDescent="0.25">
      <c r="C65"/>
      <c r="D65"/>
      <c r="E65"/>
      <c r="F65"/>
      <c r="G65"/>
      <c r="H65"/>
      <c r="I65"/>
    </row>
    <row r="66" spans="3:9" x14ac:dyDescent="0.25">
      <c r="C66"/>
      <c r="D66"/>
      <c r="E66"/>
      <c r="F66"/>
      <c r="G66"/>
      <c r="H66"/>
      <c r="I66"/>
    </row>
    <row r="67" spans="3:9" x14ac:dyDescent="0.25">
      <c r="C67"/>
      <c r="D67"/>
      <c r="E67"/>
      <c r="F67"/>
      <c r="G67"/>
      <c r="H67"/>
      <c r="I67"/>
    </row>
    <row r="68" spans="3:9" x14ac:dyDescent="0.25">
      <c r="C68"/>
      <c r="D68"/>
      <c r="E68"/>
      <c r="F68"/>
      <c r="G68"/>
      <c r="H68"/>
      <c r="I68"/>
    </row>
    <row r="69" spans="3:9" x14ac:dyDescent="0.25">
      <c r="C69"/>
      <c r="D69"/>
      <c r="E69"/>
      <c r="F69"/>
      <c r="G69"/>
      <c r="H69"/>
      <c r="I69"/>
    </row>
    <row r="70" spans="3:9" x14ac:dyDescent="0.25">
      <c r="C70"/>
      <c r="D70"/>
      <c r="E70"/>
      <c r="F70"/>
      <c r="G70"/>
      <c r="H70"/>
      <c r="I70"/>
    </row>
    <row r="71" spans="3:9" x14ac:dyDescent="0.25">
      <c r="C71"/>
      <c r="D71"/>
      <c r="E71"/>
      <c r="F71"/>
      <c r="G71"/>
      <c r="H71"/>
      <c r="I71"/>
    </row>
    <row r="72" spans="3:9" x14ac:dyDescent="0.25">
      <c r="C72"/>
      <c r="D72"/>
      <c r="E72"/>
      <c r="F72"/>
      <c r="G72"/>
      <c r="H72"/>
      <c r="I72"/>
    </row>
    <row r="73" spans="3:9" x14ac:dyDescent="0.25">
      <c r="C73"/>
      <c r="D73"/>
      <c r="E73"/>
      <c r="F73"/>
      <c r="G73"/>
      <c r="H73"/>
      <c r="I73"/>
    </row>
    <row r="74" spans="3:9" x14ac:dyDescent="0.25">
      <c r="C74"/>
      <c r="D74"/>
      <c r="E74"/>
      <c r="F74"/>
      <c r="G74"/>
      <c r="H74"/>
      <c r="I74"/>
    </row>
    <row r="75" spans="3:9" x14ac:dyDescent="0.25">
      <c r="C75"/>
      <c r="D75"/>
      <c r="E75"/>
      <c r="F75"/>
      <c r="G75"/>
      <c r="H75"/>
      <c r="I75"/>
    </row>
    <row r="76" spans="3:9" x14ac:dyDescent="0.25">
      <c r="C76"/>
      <c r="D76"/>
      <c r="E76"/>
      <c r="F76"/>
      <c r="G76"/>
      <c r="H76"/>
      <c r="I76"/>
    </row>
    <row r="77" spans="3:9" x14ac:dyDescent="0.25">
      <c r="C77"/>
      <c r="D77"/>
      <c r="E77"/>
      <c r="F77"/>
      <c r="G77"/>
      <c r="H77"/>
      <c r="I77"/>
    </row>
    <row r="78" spans="3:9" x14ac:dyDescent="0.25">
      <c r="C78"/>
      <c r="D78"/>
      <c r="E78"/>
      <c r="F78"/>
      <c r="G78"/>
      <c r="H78"/>
      <c r="I78"/>
    </row>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5" width="11.85546875" style="14" customWidth="1"/>
    <col min="6" max="6" width="14.71093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206</v>
      </c>
    </row>
    <row r="3" spans="1:13" x14ac:dyDescent="0.25">
      <c r="A3" s="5" t="s">
        <v>76</v>
      </c>
    </row>
    <row r="4" spans="1:13" ht="35.450000000000003" customHeight="1" x14ac:dyDescent="0.25">
      <c r="B4" s="1" t="s">
        <v>77</v>
      </c>
      <c r="C4" s="110" t="s">
        <v>207</v>
      </c>
      <c r="D4" s="110"/>
      <c r="E4" s="110"/>
      <c r="F4" s="110"/>
      <c r="G4" s="110"/>
      <c r="H4" s="110"/>
      <c r="I4" s="110"/>
      <c r="J4" s="110"/>
      <c r="K4" s="110"/>
      <c r="L4" s="110"/>
    </row>
    <row r="5" spans="1:13" ht="43.35" customHeight="1" x14ac:dyDescent="0.25">
      <c r="B5" s="1" t="s">
        <v>79</v>
      </c>
      <c r="C5" s="110" t="s">
        <v>208</v>
      </c>
      <c r="D5" s="110"/>
      <c r="E5" s="110"/>
      <c r="F5" s="110"/>
      <c r="G5" s="110"/>
      <c r="H5" s="110"/>
      <c r="I5" s="110"/>
      <c r="J5" s="110"/>
      <c r="K5" s="110"/>
      <c r="L5" s="110"/>
    </row>
    <row r="6" spans="1:13" ht="56.45" customHeight="1" x14ac:dyDescent="0.25">
      <c r="B6" s="1" t="s">
        <v>81</v>
      </c>
      <c r="C6" s="110" t="s">
        <v>209</v>
      </c>
      <c r="D6" s="110"/>
      <c r="E6" s="110"/>
      <c r="F6" s="110"/>
      <c r="G6" s="110"/>
      <c r="H6" s="110"/>
      <c r="I6" s="110"/>
      <c r="J6" s="110"/>
      <c r="K6" s="110"/>
      <c r="L6" s="110"/>
    </row>
    <row r="7" spans="1:13" ht="28.35" customHeight="1" x14ac:dyDescent="0.25">
      <c r="B7" s="1" t="s">
        <v>83</v>
      </c>
      <c r="C7" s="110" t="s">
        <v>210</v>
      </c>
      <c r="D7" s="110"/>
      <c r="E7" s="110"/>
      <c r="F7" s="110"/>
      <c r="G7" s="110"/>
      <c r="H7" s="110"/>
      <c r="I7" s="110"/>
      <c r="J7" s="110"/>
      <c r="K7" s="110"/>
      <c r="L7" s="110"/>
    </row>
    <row r="8" spans="1:13" ht="54.75" customHeight="1" x14ac:dyDescent="0.25">
      <c r="B8" s="1" t="s">
        <v>85</v>
      </c>
      <c r="C8" s="111" t="s">
        <v>211</v>
      </c>
      <c r="D8" s="111"/>
      <c r="E8" s="111"/>
      <c r="F8" s="111"/>
      <c r="G8" s="111"/>
      <c r="H8" s="111"/>
      <c r="I8" s="111"/>
      <c r="J8" s="111"/>
      <c r="K8" s="111"/>
      <c r="L8" s="111"/>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205</v>
      </c>
      <c r="D11" s="11"/>
      <c r="E11" s="90">
        <v>0</v>
      </c>
      <c r="F11" s="90">
        <v>0</v>
      </c>
      <c r="G11" s="95">
        <v>235.81921378451364</v>
      </c>
      <c r="H11" s="95">
        <v>70701.08001498683</v>
      </c>
      <c r="I11" s="95">
        <v>79970.16099798803</v>
      </c>
      <c r="J11" s="95">
        <v>377853.55106637016</v>
      </c>
      <c r="K11" s="95">
        <v>764624.46907898749</v>
      </c>
      <c r="L11" s="59">
        <f>K11</f>
        <v>764624.46907898749</v>
      </c>
      <c r="M11" s="93"/>
    </row>
    <row r="12" spans="1:13" x14ac:dyDescent="0.25">
      <c r="B12" s="1" t="s">
        <v>10</v>
      </c>
      <c r="C12" s="10" t="s">
        <v>11</v>
      </c>
      <c r="D12" s="24">
        <f>SUM(E12:K12)</f>
        <v>303343440.01150286</v>
      </c>
      <c r="E12" s="15">
        <v>5048442.4266520012</v>
      </c>
      <c r="F12" s="15">
        <v>9602802.7251814008</v>
      </c>
      <c r="G12" s="15">
        <v>24897613.047749735</v>
      </c>
      <c r="H12" s="15">
        <v>97808604.88304846</v>
      </c>
      <c r="I12" s="15">
        <v>117384199.76032962</v>
      </c>
      <c r="J12" s="15">
        <v>42714757.956986524</v>
      </c>
      <c r="K12" s="15">
        <v>5887019.2115550991</v>
      </c>
    </row>
    <row r="13" spans="1:13" x14ac:dyDescent="0.25">
      <c r="B13" s="1" t="s">
        <v>13</v>
      </c>
      <c r="C13" s="10" t="s">
        <v>11</v>
      </c>
      <c r="D13" s="24">
        <f>SUM(E13:K13)</f>
        <v>3720817.1031876155</v>
      </c>
      <c r="E13" s="15">
        <v>0</v>
      </c>
      <c r="F13" s="15">
        <v>0</v>
      </c>
      <c r="G13" s="15">
        <v>0</v>
      </c>
      <c r="H13" s="15">
        <v>0</v>
      </c>
      <c r="I13" s="15">
        <v>11566.027912133053</v>
      </c>
      <c r="J13" s="15">
        <v>1001165.7975298016</v>
      </c>
      <c r="K13" s="15">
        <v>2708085.2777456809</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£/PE</v>
      </c>
      <c r="D18" s="23">
        <v>18.588000000000001</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£/PE</v>
      </c>
      <c r="D27" s="106">
        <f>MAX(0,(D12+D13)/L11*D16-D18)</f>
        <v>182.20616074962808</v>
      </c>
      <c r="E27" s="24">
        <f>$D27*$D$21</f>
        <v>0</v>
      </c>
      <c r="F27" s="24">
        <f>$D27*$D$22</f>
        <v>0</v>
      </c>
      <c r="G27" s="24">
        <f>$D27*$D$23</f>
        <v>182.20616074962808</v>
      </c>
      <c r="H27" s="24">
        <f>$D27*$D$24*$D$17</f>
        <v>0</v>
      </c>
      <c r="I27" s="1"/>
      <c r="J27" s="1"/>
    </row>
    <row r="28" spans="1:10" x14ac:dyDescent="0.25">
      <c r="B28" s="1" t="s">
        <v>43</v>
      </c>
      <c r="C28" s="25" t="str">
        <f t="shared" si="0"/>
        <v>£/PE</v>
      </c>
      <c r="D28" s="106">
        <f>D27*D14</f>
        <v>5.8852589922129876</v>
      </c>
      <c r="E28" s="24">
        <f t="shared" ref="E28:E29" si="1">$D28*$D$21</f>
        <v>0</v>
      </c>
      <c r="F28" s="24">
        <f t="shared" ref="F28:F29" si="2">$D28*$D$22</f>
        <v>0</v>
      </c>
      <c r="G28" s="24">
        <f t="shared" ref="G28:G29" si="3">$D28*$D$23</f>
        <v>5.8852589922129876</v>
      </c>
      <c r="H28" s="24">
        <f>$D28*$D$24*$D$17</f>
        <v>0</v>
      </c>
      <c r="I28" s="1"/>
      <c r="J28" s="1"/>
    </row>
    <row r="29" spans="1:10" x14ac:dyDescent="0.25">
      <c r="B29" s="1" t="s">
        <v>45</v>
      </c>
      <c r="C29" s="25" t="str">
        <f t="shared" si="0"/>
        <v>£/PE</v>
      </c>
      <c r="D29" s="106">
        <f>MAX(0,((D12+D13)/L11)*D16*D15+D13*D16/SUM(E11:K11)-D18)+D28</f>
        <v>5.8852589922129876</v>
      </c>
      <c r="E29" s="24">
        <f t="shared" si="1"/>
        <v>0</v>
      </c>
      <c r="F29" s="24">
        <f t="shared" si="2"/>
        <v>0</v>
      </c>
      <c r="G29" s="24">
        <f t="shared" si="3"/>
        <v>5.8852589922129876</v>
      </c>
      <c r="H29" s="24">
        <f>$D29*$D$24*$D$17</f>
        <v>0</v>
      </c>
      <c r="I29" s="1"/>
      <c r="J29" s="1"/>
    </row>
    <row r="32" spans="1:10" x14ac:dyDescent="0.25">
      <c r="A32" s="5" t="s">
        <v>92</v>
      </c>
    </row>
    <row r="33" spans="1:12" x14ac:dyDescent="0.25">
      <c r="B33" s="1" t="s">
        <v>93</v>
      </c>
      <c r="E33" s="15"/>
      <c r="F33" s="15"/>
      <c r="G33" s="63">
        <v>235.81921378451364</v>
      </c>
      <c r="H33" s="63">
        <v>70701.08001498683</v>
      </c>
      <c r="I33" s="63">
        <v>79970.16099798803</v>
      </c>
      <c r="J33" s="63">
        <v>377853.55106637016</v>
      </c>
      <c r="K33" s="63">
        <v>764624.46907898749</v>
      </c>
      <c r="L33" s="63">
        <v>764624.46907898749</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11" width="11.8554687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212</v>
      </c>
    </row>
    <row r="3" spans="1:13" x14ac:dyDescent="0.25">
      <c r="A3" s="5" t="s">
        <v>76</v>
      </c>
    </row>
    <row r="4" spans="1:13" ht="66.599999999999994" customHeight="1" x14ac:dyDescent="0.25">
      <c r="B4" s="1" t="s">
        <v>77</v>
      </c>
      <c r="C4" s="110" t="s">
        <v>213</v>
      </c>
      <c r="D4" s="110"/>
      <c r="E4" s="110"/>
      <c r="F4" s="110"/>
      <c r="G4" s="110"/>
      <c r="H4" s="110"/>
      <c r="I4" s="110"/>
      <c r="J4" s="110"/>
      <c r="K4" s="110"/>
      <c r="L4" s="110"/>
    </row>
    <row r="5" spans="1:13" ht="45" customHeight="1" x14ac:dyDescent="0.25">
      <c r="B5" s="1" t="s">
        <v>79</v>
      </c>
      <c r="C5" s="110" t="s">
        <v>214</v>
      </c>
      <c r="D5" s="110"/>
      <c r="E5" s="110"/>
      <c r="F5" s="110"/>
      <c r="G5" s="110"/>
      <c r="H5" s="110"/>
      <c r="I5" s="110"/>
      <c r="J5" s="110"/>
      <c r="K5" s="110"/>
      <c r="L5" s="110"/>
    </row>
    <row r="6" spans="1:13" ht="66.599999999999994" customHeight="1" x14ac:dyDescent="0.25">
      <c r="B6" s="1" t="s">
        <v>81</v>
      </c>
      <c r="C6" s="110" t="s">
        <v>215</v>
      </c>
      <c r="D6" s="110"/>
      <c r="E6" s="110"/>
      <c r="F6" s="110"/>
      <c r="G6" s="110"/>
      <c r="H6" s="110"/>
      <c r="I6" s="110"/>
      <c r="J6" s="110"/>
      <c r="K6" s="110"/>
      <c r="L6" s="110"/>
    </row>
    <row r="7" spans="1:13" ht="24" customHeight="1" x14ac:dyDescent="0.25">
      <c r="B7" s="1" t="s">
        <v>83</v>
      </c>
      <c r="C7" s="110" t="s">
        <v>84</v>
      </c>
      <c r="D7" s="110"/>
      <c r="E7" s="110"/>
      <c r="F7" s="110"/>
      <c r="G7" s="110"/>
      <c r="H7" s="110"/>
      <c r="I7" s="110"/>
      <c r="J7" s="110"/>
      <c r="K7" s="110"/>
      <c r="L7" s="110"/>
    </row>
    <row r="8" spans="1:13" x14ac:dyDescent="0.25">
      <c r="B8" s="1" t="s">
        <v>85</v>
      </c>
      <c r="C8" s="110" t="s">
        <v>84</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216</v>
      </c>
      <c r="D11" s="11"/>
      <c r="E11" s="87">
        <v>0</v>
      </c>
      <c r="F11" s="87">
        <v>0</v>
      </c>
      <c r="G11" s="87">
        <v>0</v>
      </c>
      <c r="H11" s="95">
        <v>94</v>
      </c>
      <c r="I11" s="95">
        <v>94</v>
      </c>
      <c r="J11" s="95">
        <v>94</v>
      </c>
      <c r="K11" s="95">
        <v>94</v>
      </c>
      <c r="L11" s="59">
        <f>K11</f>
        <v>94</v>
      </c>
      <c r="M11" s="93"/>
    </row>
    <row r="12" spans="1:13" x14ac:dyDescent="0.25">
      <c r="B12" s="1" t="s">
        <v>10</v>
      </c>
      <c r="C12" s="10" t="s">
        <v>11</v>
      </c>
      <c r="D12" s="24">
        <f>SUM(E12:K12)</f>
        <v>31674020.118622538</v>
      </c>
      <c r="E12" s="15">
        <v>0</v>
      </c>
      <c r="F12" s="15">
        <v>0</v>
      </c>
      <c r="G12" s="15">
        <v>15837010.059311269</v>
      </c>
      <c r="H12" s="15">
        <v>15837010.059311269</v>
      </c>
      <c r="I12" s="15">
        <v>0</v>
      </c>
      <c r="J12" s="15">
        <v>0</v>
      </c>
      <c r="K12" s="15">
        <v>0</v>
      </c>
    </row>
    <row r="13" spans="1:13" x14ac:dyDescent="0.25">
      <c r="B13" s="1" t="s">
        <v>13</v>
      </c>
      <c r="C13" s="10" t="s">
        <v>11</v>
      </c>
      <c r="D13" s="24">
        <f>SUM(E13:K13)</f>
        <v>5998250.5046772864</v>
      </c>
      <c r="E13" s="15">
        <v>0</v>
      </c>
      <c r="F13" s="15">
        <v>0</v>
      </c>
      <c r="G13" s="15">
        <v>0</v>
      </c>
      <c r="H13" s="15">
        <v>455563.32946916093</v>
      </c>
      <c r="I13" s="15">
        <v>1847562.3917360418</v>
      </c>
      <c r="J13" s="15">
        <v>1847562.3917360418</v>
      </c>
      <c r="K13" s="15">
        <v>1847562.3917360418</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£/monitors</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£/monitors</v>
      </c>
      <c r="D27" s="106">
        <f>MAX(0,(D12+D13)/L11*D16-D18)</f>
        <v>200384.41820904161</v>
      </c>
      <c r="E27" s="24">
        <f>$D27*$D$21</f>
        <v>0</v>
      </c>
      <c r="F27" s="24">
        <f>$D27*$D$22</f>
        <v>0</v>
      </c>
      <c r="G27" s="24">
        <f>$D27*$D$23</f>
        <v>200384.41820904161</v>
      </c>
      <c r="H27" s="24">
        <f>$D27*$D$24*$D$17</f>
        <v>0</v>
      </c>
      <c r="I27" s="1"/>
      <c r="J27" s="1"/>
    </row>
    <row r="28" spans="1:10" x14ac:dyDescent="0.25">
      <c r="B28" s="1" t="s">
        <v>43</v>
      </c>
      <c r="C28" s="25" t="str">
        <f t="shared" si="0"/>
        <v>£/monitors</v>
      </c>
      <c r="D28" s="106">
        <f>D27*D14</f>
        <v>6472.4167081520445</v>
      </c>
      <c r="E28" s="24">
        <f t="shared" ref="E28:E29" si="1">$D28*$D$21</f>
        <v>0</v>
      </c>
      <c r="F28" s="24">
        <f t="shared" ref="F28:F29" si="2">$D28*$D$22</f>
        <v>0</v>
      </c>
      <c r="G28" s="24">
        <f t="shared" ref="G28:G29" si="3">$D28*$D$23</f>
        <v>6472.4167081520445</v>
      </c>
      <c r="H28" s="24">
        <f>$D28*$D$24*$D$17</f>
        <v>0</v>
      </c>
      <c r="I28" s="1"/>
      <c r="J28" s="1"/>
    </row>
    <row r="29" spans="1:10" x14ac:dyDescent="0.25">
      <c r="B29" s="1" t="s">
        <v>45</v>
      </c>
      <c r="C29" s="25" t="str">
        <f t="shared" si="0"/>
        <v>£/monitors</v>
      </c>
      <c r="D29" s="106">
        <f>MAX(0,((D12+D13)/L11)*D16*D15+D13*D16/SUM(E11:K11)-D18)+D28</f>
        <v>21462.268293177658</v>
      </c>
      <c r="E29" s="24">
        <f t="shared" si="1"/>
        <v>0</v>
      </c>
      <c r="F29" s="24">
        <f t="shared" si="2"/>
        <v>0</v>
      </c>
      <c r="G29" s="24">
        <f t="shared" si="3"/>
        <v>21462.268293177658</v>
      </c>
      <c r="H29" s="24">
        <f>$D29*$D$24*$D$17</f>
        <v>0</v>
      </c>
      <c r="I29" s="1"/>
      <c r="J29" s="1"/>
    </row>
    <row r="32" spans="1:10" x14ac:dyDescent="0.25">
      <c r="A32" s="5" t="s">
        <v>92</v>
      </c>
    </row>
    <row r="33" spans="1:12" x14ac:dyDescent="0.25">
      <c r="B33" s="1" t="s">
        <v>93</v>
      </c>
      <c r="E33" s="15">
        <v>0</v>
      </c>
      <c r="F33" s="15">
        <v>0</v>
      </c>
      <c r="G33" s="15">
        <v>0</v>
      </c>
      <c r="H33" s="63">
        <v>94</v>
      </c>
      <c r="I33" s="63">
        <v>94</v>
      </c>
      <c r="J33" s="63">
        <v>94</v>
      </c>
      <c r="K33" s="63">
        <v>94</v>
      </c>
      <c r="L33" s="15">
        <v>94</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D26" sqref="D26:D29"/>
      <selection pane="bottomLeft" activeCell="D26" sqref="D26:D29"/>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11" width="11.8554687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217</v>
      </c>
    </row>
    <row r="3" spans="1:13" x14ac:dyDescent="0.25">
      <c r="A3" s="5" t="s">
        <v>76</v>
      </c>
    </row>
    <row r="4" spans="1:13" ht="43.7" customHeight="1" x14ac:dyDescent="0.25">
      <c r="B4" s="1" t="s">
        <v>77</v>
      </c>
      <c r="C4" s="110" t="s">
        <v>218</v>
      </c>
      <c r="D4" s="110"/>
      <c r="E4" s="110"/>
      <c r="F4" s="110"/>
      <c r="G4" s="110"/>
      <c r="H4" s="110"/>
      <c r="I4" s="110"/>
      <c r="J4" s="110"/>
      <c r="K4" s="110"/>
      <c r="L4" s="110"/>
    </row>
    <row r="5" spans="1:13" ht="41.45" customHeight="1" x14ac:dyDescent="0.25">
      <c r="B5" s="1" t="s">
        <v>79</v>
      </c>
      <c r="C5" s="110" t="s">
        <v>219</v>
      </c>
      <c r="D5" s="110"/>
      <c r="E5" s="110"/>
      <c r="F5" s="110"/>
      <c r="G5" s="110"/>
      <c r="H5" s="110"/>
      <c r="I5" s="110"/>
      <c r="J5" s="110"/>
      <c r="K5" s="110"/>
      <c r="L5" s="110"/>
    </row>
    <row r="6" spans="1:13" ht="64.5" customHeight="1" x14ac:dyDescent="0.25">
      <c r="B6" s="1" t="s">
        <v>81</v>
      </c>
      <c r="C6" s="110" t="s">
        <v>215</v>
      </c>
      <c r="D6" s="110"/>
      <c r="E6" s="110"/>
      <c r="F6" s="110"/>
      <c r="G6" s="110"/>
      <c r="H6" s="110"/>
      <c r="I6" s="110"/>
      <c r="J6" s="110"/>
      <c r="K6" s="110"/>
      <c r="L6" s="110"/>
    </row>
    <row r="7" spans="1:13" ht="24" customHeight="1" x14ac:dyDescent="0.25">
      <c r="B7" s="1" t="s">
        <v>83</v>
      </c>
      <c r="C7" s="110" t="s">
        <v>84</v>
      </c>
      <c r="D7" s="110"/>
      <c r="E7" s="110"/>
      <c r="F7" s="110"/>
      <c r="G7" s="110"/>
      <c r="H7" s="110"/>
      <c r="I7" s="110"/>
      <c r="J7" s="110"/>
      <c r="K7" s="110"/>
      <c r="L7" s="110"/>
    </row>
    <row r="8" spans="1:13" x14ac:dyDescent="0.25">
      <c r="B8" s="1" t="s">
        <v>85</v>
      </c>
      <c r="C8" s="110" t="s">
        <v>84</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216</v>
      </c>
      <c r="D11" s="11"/>
      <c r="E11" s="87">
        <v>0</v>
      </c>
      <c r="F11" s="87">
        <v>0</v>
      </c>
      <c r="G11" s="87">
        <v>120</v>
      </c>
      <c r="H11" s="87">
        <v>240</v>
      </c>
      <c r="I11" s="87">
        <v>360</v>
      </c>
      <c r="J11" s="87">
        <v>480</v>
      </c>
      <c r="K11" s="87">
        <v>600</v>
      </c>
      <c r="L11" s="59">
        <f>K11</f>
        <v>600</v>
      </c>
    </row>
    <row r="12" spans="1:13" x14ac:dyDescent="0.25">
      <c r="B12" s="1" t="s">
        <v>10</v>
      </c>
      <c r="C12" s="10" t="s">
        <v>11</v>
      </c>
      <c r="D12" s="24">
        <f>SUM(E12:K12)</f>
        <v>72567612.464675769</v>
      </c>
      <c r="E12" s="15">
        <v>0</v>
      </c>
      <c r="F12" s="15">
        <v>0</v>
      </c>
      <c r="G12" s="15">
        <v>14513522.492935153</v>
      </c>
      <c r="H12" s="15">
        <v>14513522.492935153</v>
      </c>
      <c r="I12" s="15">
        <v>14513522.492935153</v>
      </c>
      <c r="J12" s="15">
        <v>14513522.492935153</v>
      </c>
      <c r="K12" s="15">
        <v>14513522.492935153</v>
      </c>
    </row>
    <row r="13" spans="1:13" x14ac:dyDescent="0.25">
      <c r="B13" s="1" t="s">
        <v>13</v>
      </c>
      <c r="C13" s="10" t="s">
        <v>11</v>
      </c>
      <c r="D13" s="24">
        <f>SUM(E13:K13)</f>
        <v>0</v>
      </c>
      <c r="E13" s="15">
        <v>0</v>
      </c>
      <c r="F13" s="15">
        <v>0</v>
      </c>
      <c r="G13" s="15">
        <v>0</v>
      </c>
      <c r="H13" s="15">
        <v>0</v>
      </c>
      <c r="I13" s="15">
        <v>0</v>
      </c>
      <c r="J13" s="15">
        <v>0</v>
      </c>
      <c r="K13" s="15">
        <v>0</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£/monitors</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£/monitors</v>
      </c>
      <c r="D27" s="106">
        <f>MAX(0,(D12+D13)/L11*D16-D18)</f>
        <v>60473.010387229806</v>
      </c>
      <c r="E27" s="24">
        <f>$D27*$D$21</f>
        <v>0</v>
      </c>
      <c r="F27" s="24">
        <f>$D27*$D$22</f>
        <v>0</v>
      </c>
      <c r="G27" s="24">
        <f>$D27*$D$23</f>
        <v>60473.010387229806</v>
      </c>
      <c r="H27" s="24">
        <f>$D27*$D$24*$D$17</f>
        <v>0</v>
      </c>
      <c r="I27" s="1"/>
      <c r="J27" s="1"/>
    </row>
    <row r="28" spans="1:10" x14ac:dyDescent="0.25">
      <c r="B28" s="1" t="s">
        <v>43</v>
      </c>
      <c r="C28" s="25" t="str">
        <f t="shared" si="0"/>
        <v>£/monitors</v>
      </c>
      <c r="D28" s="106">
        <f>D27*D14</f>
        <v>1953.2782355075228</v>
      </c>
      <c r="E28" s="24">
        <f t="shared" ref="E28:E29" si="1">$D28*$D$21</f>
        <v>0</v>
      </c>
      <c r="F28" s="24">
        <f t="shared" ref="F28:F29" si="2">$D28*$D$22</f>
        <v>0</v>
      </c>
      <c r="G28" s="24">
        <f t="shared" ref="G28:G29" si="3">$D28*$D$23</f>
        <v>1953.2782355075228</v>
      </c>
      <c r="H28" s="24">
        <f>$D28*$D$24*$D$17</f>
        <v>0</v>
      </c>
      <c r="I28" s="1"/>
      <c r="J28" s="1"/>
    </row>
    <row r="29" spans="1:10" x14ac:dyDescent="0.25">
      <c r="B29" s="1" t="s">
        <v>45</v>
      </c>
      <c r="C29" s="25" t="str">
        <f t="shared" si="0"/>
        <v>£/monitors</v>
      </c>
      <c r="D29" s="106">
        <f>MAX(0,((D12+D13)/L11)*D16*D15+D13*D16/SUM(E11:K11)-D18)+D28</f>
        <v>4069.833599060566</v>
      </c>
      <c r="E29" s="24">
        <f t="shared" si="1"/>
        <v>0</v>
      </c>
      <c r="F29" s="24">
        <f t="shared" si="2"/>
        <v>0</v>
      </c>
      <c r="G29" s="24">
        <f t="shared" si="3"/>
        <v>4069.833599060566</v>
      </c>
      <c r="H29" s="24">
        <f>$D29*$D$24*$D$17</f>
        <v>0</v>
      </c>
      <c r="I29" s="1"/>
      <c r="J29" s="1"/>
    </row>
    <row r="32" spans="1:10" x14ac:dyDescent="0.25">
      <c r="A32" s="5" t="s">
        <v>92</v>
      </c>
    </row>
    <row r="33" spans="1:12" x14ac:dyDescent="0.25">
      <c r="B33" s="1" t="s">
        <v>93</v>
      </c>
      <c r="E33" s="15">
        <v>0</v>
      </c>
      <c r="F33" s="15">
        <v>0</v>
      </c>
      <c r="G33" s="15">
        <v>120</v>
      </c>
      <c r="H33" s="15">
        <v>240</v>
      </c>
      <c r="I33" s="15">
        <v>360</v>
      </c>
      <c r="J33" s="15">
        <v>480</v>
      </c>
      <c r="K33" s="15">
        <v>600</v>
      </c>
      <c r="L33" s="15">
        <v>600</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11" width="11.8554687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220</v>
      </c>
    </row>
    <row r="3" spans="1:13" x14ac:dyDescent="0.25">
      <c r="A3" s="5" t="s">
        <v>76</v>
      </c>
    </row>
    <row r="4" spans="1:13" ht="77.45" customHeight="1" x14ac:dyDescent="0.25">
      <c r="B4" s="1" t="s">
        <v>77</v>
      </c>
      <c r="C4" s="110" t="s">
        <v>221</v>
      </c>
      <c r="D4" s="110"/>
      <c r="E4" s="110"/>
      <c r="F4" s="110"/>
      <c r="G4" s="110"/>
      <c r="H4" s="110"/>
      <c r="I4" s="110"/>
      <c r="J4" s="110"/>
      <c r="K4" s="110"/>
      <c r="L4" s="110"/>
    </row>
    <row r="5" spans="1:13" ht="36.6" customHeight="1" x14ac:dyDescent="0.25">
      <c r="B5" s="1" t="s">
        <v>79</v>
      </c>
      <c r="C5" s="110" t="s">
        <v>222</v>
      </c>
      <c r="D5" s="110"/>
      <c r="E5" s="110"/>
      <c r="F5" s="110"/>
      <c r="G5" s="110"/>
      <c r="H5" s="110"/>
      <c r="I5" s="110"/>
      <c r="J5" s="110"/>
      <c r="K5" s="110"/>
      <c r="L5" s="110"/>
    </row>
    <row r="6" spans="1:13" ht="19.7" customHeight="1" x14ac:dyDescent="0.25">
      <c r="B6" s="1" t="s">
        <v>81</v>
      </c>
      <c r="C6" s="110" t="s">
        <v>223</v>
      </c>
      <c r="D6" s="110"/>
      <c r="E6" s="110"/>
      <c r="F6" s="110"/>
      <c r="G6" s="110"/>
      <c r="H6" s="110"/>
      <c r="I6" s="110"/>
      <c r="J6" s="110"/>
      <c r="K6" s="110"/>
      <c r="L6" s="110"/>
    </row>
    <row r="7" spans="1:13" ht="34.700000000000003" customHeight="1" x14ac:dyDescent="0.25">
      <c r="B7" s="1" t="s">
        <v>83</v>
      </c>
      <c r="C7" s="110" t="s">
        <v>224</v>
      </c>
      <c r="D7" s="110"/>
      <c r="E7" s="110"/>
      <c r="F7" s="110"/>
      <c r="G7" s="110"/>
      <c r="H7" s="110"/>
      <c r="I7" s="110"/>
      <c r="J7" s="110"/>
      <c r="K7" s="110"/>
      <c r="L7" s="110"/>
    </row>
    <row r="8" spans="1:13" ht="19.7" customHeight="1" x14ac:dyDescent="0.25">
      <c r="B8" s="1" t="s">
        <v>85</v>
      </c>
      <c r="C8" s="110" t="s">
        <v>84</v>
      </c>
      <c r="D8" s="110"/>
      <c r="E8" s="110"/>
      <c r="F8" s="110"/>
      <c r="G8" s="110"/>
      <c r="H8" s="110"/>
      <c r="I8" s="110"/>
      <c r="J8" s="110"/>
      <c r="K8" s="110"/>
      <c r="L8" s="110"/>
    </row>
    <row r="9" spans="1:13" ht="15.75" thickBot="1" x14ac:dyDescent="0.3"/>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225</v>
      </c>
      <c r="D11" s="11"/>
      <c r="E11" s="87">
        <v>0</v>
      </c>
      <c r="F11" s="87">
        <v>0</v>
      </c>
      <c r="G11" s="87">
        <v>2</v>
      </c>
      <c r="H11" s="87">
        <v>3</v>
      </c>
      <c r="I11" s="87">
        <v>3</v>
      </c>
      <c r="J11" s="87">
        <v>3</v>
      </c>
      <c r="K11" s="87">
        <v>3</v>
      </c>
      <c r="L11" s="59">
        <f>K11</f>
        <v>3</v>
      </c>
    </row>
    <row r="12" spans="1:13" x14ac:dyDescent="0.25">
      <c r="B12" s="1" t="s">
        <v>10</v>
      </c>
      <c r="C12" s="10" t="s">
        <v>11</v>
      </c>
      <c r="D12" s="24">
        <f>SUM(E12:K12)</f>
        <v>24075761.267310716</v>
      </c>
      <c r="E12" s="15">
        <v>0</v>
      </c>
      <c r="F12" s="15">
        <v>0</v>
      </c>
      <c r="G12" s="15">
        <v>20450225.342154171</v>
      </c>
      <c r="H12" s="15">
        <v>3625535.9251565449</v>
      </c>
      <c r="I12" s="15">
        <v>0</v>
      </c>
      <c r="J12" s="15">
        <v>0</v>
      </c>
      <c r="K12" s="15">
        <v>0</v>
      </c>
    </row>
    <row r="13" spans="1:13" x14ac:dyDescent="0.25">
      <c r="B13" s="1" t="s">
        <v>13</v>
      </c>
      <c r="C13" s="10" t="s">
        <v>11</v>
      </c>
      <c r="D13" s="24">
        <f>SUM(E13:K13)</f>
        <v>0</v>
      </c>
      <c r="E13" s="15">
        <v>0</v>
      </c>
      <c r="F13" s="15">
        <v>0</v>
      </c>
      <c r="G13" s="15">
        <v>0</v>
      </c>
      <c r="H13" s="15">
        <v>0</v>
      </c>
      <c r="I13" s="15">
        <v>0</v>
      </c>
      <c r="J13" s="15">
        <v>0</v>
      </c>
      <c r="K13" s="15">
        <v>0</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£/milestones</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£/milestones</v>
      </c>
      <c r="D27" s="106">
        <f>MAX(0,(D12+D13)/L11*D16-D18)</f>
        <v>4012626.8778851195</v>
      </c>
      <c r="E27" s="24">
        <f>$D27*$D$21</f>
        <v>0</v>
      </c>
      <c r="F27" s="24">
        <f>$D27*$D$22</f>
        <v>0</v>
      </c>
      <c r="G27" s="24">
        <f>$D27*$D$23</f>
        <v>4012626.8778851195</v>
      </c>
      <c r="H27" s="24">
        <f>$D27*$D$24*$D$17</f>
        <v>0</v>
      </c>
      <c r="I27" s="1"/>
      <c r="J27" s="1"/>
    </row>
    <row r="28" spans="1:10" x14ac:dyDescent="0.25">
      <c r="B28" s="1" t="s">
        <v>43</v>
      </c>
      <c r="C28" s="25" t="str">
        <f t="shared" si="0"/>
        <v>£/milestones</v>
      </c>
      <c r="D28" s="106">
        <f>D27*D14</f>
        <v>129607.84815568937</v>
      </c>
      <c r="E28" s="24">
        <f t="shared" ref="E28:E29" si="1">$D28*$D$21</f>
        <v>0</v>
      </c>
      <c r="F28" s="24">
        <f t="shared" ref="F28:F29" si="2">$D28*$D$22</f>
        <v>0</v>
      </c>
      <c r="G28" s="24">
        <f t="shared" ref="G28:G29" si="3">$D28*$D$23</f>
        <v>129607.84815568937</v>
      </c>
      <c r="H28" s="24">
        <f>$D28*$D$24*$D$17</f>
        <v>0</v>
      </c>
      <c r="I28" s="1"/>
      <c r="J28" s="1"/>
    </row>
    <row r="29" spans="1:10" x14ac:dyDescent="0.25">
      <c r="B29" s="1" t="s">
        <v>45</v>
      </c>
      <c r="C29" s="25" t="str">
        <f t="shared" si="0"/>
        <v>£/milestones</v>
      </c>
      <c r="D29" s="106">
        <f>MAX(0,((D12+D13)/L11)*D16*D15+D13*D16/SUM(E11:K11)-D18)+D28</f>
        <v>270049.78888166859</v>
      </c>
      <c r="E29" s="24">
        <f t="shared" si="1"/>
        <v>0</v>
      </c>
      <c r="F29" s="24">
        <f t="shared" si="2"/>
        <v>0</v>
      </c>
      <c r="G29" s="24">
        <f t="shared" si="3"/>
        <v>270049.78888166859</v>
      </c>
      <c r="H29" s="24">
        <f>$D29*$D$24*$D$17</f>
        <v>0</v>
      </c>
      <c r="I29" s="1"/>
      <c r="J29" s="1"/>
    </row>
    <row r="32" spans="1:10" x14ac:dyDescent="0.25">
      <c r="A32" s="5" t="s">
        <v>92</v>
      </c>
    </row>
    <row r="33" spans="1:12" x14ac:dyDescent="0.25">
      <c r="B33" s="1" t="s">
        <v>93</v>
      </c>
      <c r="E33" s="15">
        <v>0</v>
      </c>
      <c r="F33" s="15">
        <v>0</v>
      </c>
      <c r="G33" s="15">
        <v>2</v>
      </c>
      <c r="H33" s="15">
        <v>3</v>
      </c>
      <c r="I33" s="15">
        <v>3</v>
      </c>
      <c r="J33" s="15">
        <v>3</v>
      </c>
      <c r="K33" s="15">
        <v>3</v>
      </c>
      <c r="L33" s="15">
        <v>3</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5" width="11.85546875" style="14" customWidth="1"/>
    <col min="6" max="11" width="12.5703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54" t="s">
        <v>226</v>
      </c>
    </row>
    <row r="3" spans="1:13" x14ac:dyDescent="0.25">
      <c r="A3" s="5" t="s">
        <v>76</v>
      </c>
    </row>
    <row r="4" spans="1:13" ht="22.35" customHeight="1" x14ac:dyDescent="0.25">
      <c r="B4" s="1" t="s">
        <v>77</v>
      </c>
      <c r="C4" s="110" t="s">
        <v>227</v>
      </c>
      <c r="D4" s="110"/>
      <c r="E4" s="110"/>
      <c r="F4" s="110"/>
      <c r="G4" s="110"/>
      <c r="H4" s="110"/>
      <c r="I4" s="110"/>
      <c r="J4" s="110"/>
      <c r="K4" s="110"/>
      <c r="L4" s="110"/>
    </row>
    <row r="5" spans="1:13" ht="104.1" customHeight="1" x14ac:dyDescent="0.25">
      <c r="B5" s="1" t="s">
        <v>79</v>
      </c>
      <c r="C5" s="110" t="s">
        <v>228</v>
      </c>
      <c r="D5" s="110"/>
      <c r="E5" s="110"/>
      <c r="F5" s="110"/>
      <c r="G5" s="110"/>
      <c r="H5" s="110"/>
      <c r="I5" s="110"/>
      <c r="J5" s="110"/>
      <c r="K5" s="110"/>
      <c r="L5" s="110"/>
    </row>
    <row r="6" spans="1:13" ht="70.349999999999994" customHeight="1" x14ac:dyDescent="0.25">
      <c r="B6" s="1" t="s">
        <v>81</v>
      </c>
      <c r="C6" s="110" t="s">
        <v>229</v>
      </c>
      <c r="D6" s="110"/>
      <c r="E6" s="110"/>
      <c r="F6" s="110"/>
      <c r="G6" s="110"/>
      <c r="H6" s="110"/>
      <c r="I6" s="110"/>
      <c r="J6" s="110"/>
      <c r="K6" s="110"/>
      <c r="L6" s="110"/>
    </row>
    <row r="7" spans="1:13" ht="34.700000000000003" customHeight="1" x14ac:dyDescent="0.25">
      <c r="B7" s="1" t="s">
        <v>83</v>
      </c>
      <c r="C7" s="110" t="s">
        <v>84</v>
      </c>
      <c r="D7" s="110"/>
      <c r="E7" s="110"/>
      <c r="F7" s="110"/>
      <c r="G7" s="110"/>
      <c r="H7" s="110"/>
      <c r="I7" s="110"/>
      <c r="J7" s="110"/>
      <c r="K7" s="110"/>
      <c r="L7" s="110"/>
    </row>
    <row r="8" spans="1:13" ht="40.35" customHeight="1" x14ac:dyDescent="0.25">
      <c r="B8" s="1" t="s">
        <v>85</v>
      </c>
      <c r="C8" s="110" t="s">
        <v>230</v>
      </c>
      <c r="D8" s="110"/>
      <c r="E8" s="110"/>
      <c r="F8" s="110"/>
      <c r="G8" s="110"/>
      <c r="H8" s="110"/>
      <c r="I8" s="110"/>
      <c r="J8" s="110"/>
      <c r="K8" s="110"/>
      <c r="L8" s="110"/>
    </row>
    <row r="9" spans="1:13" ht="15.75" thickBot="1" x14ac:dyDescent="0.3"/>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231</v>
      </c>
      <c r="D11" s="11"/>
      <c r="E11" s="102">
        <v>0</v>
      </c>
      <c r="F11" s="102">
        <v>0</v>
      </c>
      <c r="G11" s="102">
        <v>0</v>
      </c>
      <c r="H11" s="102">
        <v>20</v>
      </c>
      <c r="I11" s="102">
        <v>60</v>
      </c>
      <c r="J11" s="102">
        <v>60</v>
      </c>
      <c r="K11" s="102">
        <v>100</v>
      </c>
      <c r="L11" s="103">
        <f>K11</f>
        <v>100</v>
      </c>
    </row>
    <row r="12" spans="1:13" x14ac:dyDescent="0.25">
      <c r="B12" s="1" t="s">
        <v>10</v>
      </c>
      <c r="C12" s="10" t="s">
        <v>11</v>
      </c>
      <c r="D12" s="24">
        <f>SUM(E12:K12)</f>
        <v>784250529.13621759</v>
      </c>
      <c r="E12" s="15">
        <v>0</v>
      </c>
      <c r="F12" s="15">
        <v>0</v>
      </c>
      <c r="G12" s="15">
        <v>58035935.212823637</v>
      </c>
      <c r="H12" s="15">
        <v>76099318.734485969</v>
      </c>
      <c r="I12" s="15">
        <v>196087679.02086988</v>
      </c>
      <c r="J12" s="15">
        <v>309017981.37782586</v>
      </c>
      <c r="K12" s="15">
        <v>145009614.7902123</v>
      </c>
    </row>
    <row r="13" spans="1:13" x14ac:dyDescent="0.25">
      <c r="B13" s="1" t="s">
        <v>13</v>
      </c>
      <c r="C13" s="10" t="s">
        <v>11</v>
      </c>
      <c r="D13" s="24">
        <f>SUM(E13:K13)</f>
        <v>0</v>
      </c>
      <c r="E13" s="15">
        <v>0</v>
      </c>
      <c r="F13" s="15">
        <v>0</v>
      </c>
      <c r="G13" s="15">
        <v>0</v>
      </c>
      <c r="H13" s="15">
        <v>0</v>
      </c>
      <c r="I13" s="15">
        <v>0</v>
      </c>
      <c r="J13" s="15">
        <v>0</v>
      </c>
      <c r="K13" s="15">
        <v>0</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 delivered</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 delivered</v>
      </c>
      <c r="D27" s="106">
        <f>MAX(0,(D12+D13)/L11*D16-D18)</f>
        <v>3921252.6456810879</v>
      </c>
      <c r="E27" s="24">
        <f>$D27*$D$21</f>
        <v>0</v>
      </c>
      <c r="F27" s="24">
        <f>$D27*$D$22</f>
        <v>0</v>
      </c>
      <c r="G27" s="24">
        <f>$D27*$D$23</f>
        <v>3921252.6456810879</v>
      </c>
      <c r="H27" s="24">
        <f>$D27*$D$24*$D$17</f>
        <v>0</v>
      </c>
      <c r="I27" s="1"/>
      <c r="J27" s="1"/>
    </row>
    <row r="28" spans="1:10" x14ac:dyDescent="0.25">
      <c r="B28" s="1" t="s">
        <v>43</v>
      </c>
      <c r="C28" s="25" t="str">
        <f t="shared" si="0"/>
        <v>£/% delivered</v>
      </c>
      <c r="D28" s="106">
        <f>D27*D14</f>
        <v>126656.46045549915</v>
      </c>
      <c r="E28" s="24">
        <f t="shared" ref="E28:E29" si="1">$D28*$D$21</f>
        <v>0</v>
      </c>
      <c r="F28" s="24">
        <f t="shared" ref="F28:F29" si="2">$D28*$D$22</f>
        <v>0</v>
      </c>
      <c r="G28" s="24">
        <f t="shared" ref="G28:G29" si="3">$D28*$D$23</f>
        <v>126656.46045549915</v>
      </c>
      <c r="H28" s="24">
        <f>$D28*$D$24*$D$17</f>
        <v>0</v>
      </c>
      <c r="I28" s="1"/>
      <c r="J28" s="1"/>
    </row>
    <row r="29" spans="1:10" x14ac:dyDescent="0.25">
      <c r="B29" s="1" t="s">
        <v>45</v>
      </c>
      <c r="C29" s="25" t="str">
        <f t="shared" si="0"/>
        <v>£/% delivered</v>
      </c>
      <c r="D29" s="106">
        <f>MAX(0,((D12+D13)/L11)*D16*D15+D13*D16/SUM(E11:K11)-D18)+D28</f>
        <v>263900.30305433727</v>
      </c>
      <c r="E29" s="24">
        <f t="shared" si="1"/>
        <v>0</v>
      </c>
      <c r="F29" s="24">
        <f t="shared" si="2"/>
        <v>0</v>
      </c>
      <c r="G29" s="24">
        <f t="shared" si="3"/>
        <v>263900.30305433727</v>
      </c>
      <c r="H29" s="24">
        <f>$D29*$D$24*$D$17</f>
        <v>0</v>
      </c>
      <c r="I29" s="1"/>
      <c r="J29" s="1"/>
    </row>
    <row r="32" spans="1:10" x14ac:dyDescent="0.25">
      <c r="A32" s="5" t="s">
        <v>92</v>
      </c>
    </row>
    <row r="33" spans="1:12" x14ac:dyDescent="0.25">
      <c r="B33" s="1" t="s">
        <v>93</v>
      </c>
      <c r="E33" s="55">
        <v>0</v>
      </c>
      <c r="F33" s="55">
        <v>0</v>
      </c>
      <c r="G33" s="55">
        <v>0</v>
      </c>
      <c r="H33" s="55">
        <v>0.2</v>
      </c>
      <c r="I33" s="55">
        <v>0.6</v>
      </c>
      <c r="J33" s="55">
        <v>0.6</v>
      </c>
      <c r="K33" s="55">
        <v>1</v>
      </c>
      <c r="L33" s="55">
        <v>1</v>
      </c>
    </row>
    <row r="34" spans="1:12" x14ac:dyDescent="0.25">
      <c r="B34" s="1" t="s">
        <v>41</v>
      </c>
      <c r="E34" s="16"/>
      <c r="F34" s="16"/>
      <c r="G34" s="16"/>
      <c r="H34" s="16"/>
      <c r="I34" s="16"/>
      <c r="J34" s="16"/>
      <c r="K34" s="16"/>
      <c r="L34" s="14">
        <f>MAX(0,$L$11-L33)</f>
        <v>99</v>
      </c>
    </row>
    <row r="35" spans="1:12" x14ac:dyDescent="0.25">
      <c r="B35" s="1" t="s">
        <v>43</v>
      </c>
      <c r="E35" s="14">
        <f t="shared" ref="E35:H35" si="4">MAX(0,MIN(E$11-E33,$L$11-$L33))</f>
        <v>0</v>
      </c>
      <c r="F35" s="14">
        <f t="shared" si="4"/>
        <v>0</v>
      </c>
      <c r="G35" s="14">
        <f t="shared" si="4"/>
        <v>0</v>
      </c>
      <c r="H35" s="14">
        <f t="shared" si="4"/>
        <v>19.8</v>
      </c>
      <c r="I35" s="14">
        <f>MAX(0,MIN(I$11-I33,$L$11-$L33))</f>
        <v>59.4</v>
      </c>
      <c r="J35" s="14">
        <f t="shared" ref="J35:K35" si="5">MAX(0,MIN(J$11-J33,$L$11-$L33))</f>
        <v>59.4</v>
      </c>
      <c r="K35" s="14">
        <f t="shared" si="5"/>
        <v>99</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388204011.92242771</v>
      </c>
      <c r="G40" s="3">
        <f t="shared" si="7"/>
        <v>0</v>
      </c>
      <c r="H40" s="6">
        <f>SUM(D40:G40)</f>
        <v>388204011.92242771</v>
      </c>
    </row>
    <row r="41" spans="1:12" x14ac:dyDescent="0.25">
      <c r="B41" s="1" t="s">
        <v>43</v>
      </c>
      <c r="D41" s="3">
        <f t="shared" si="7"/>
        <v>0</v>
      </c>
      <c r="E41" s="3">
        <f t="shared" si="7"/>
        <v>0</v>
      </c>
      <c r="F41" s="3">
        <f t="shared" si="7"/>
        <v>30093575.004226599</v>
      </c>
      <c r="G41" s="3">
        <f t="shared" si="7"/>
        <v>0</v>
      </c>
      <c r="H41" s="6">
        <f t="shared" ref="H41:H42" si="8">SUM(D41:G41)</f>
        <v>30093575.004226599</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418297586.92665434</v>
      </c>
      <c r="G43" s="9">
        <f t="shared" si="9"/>
        <v>0</v>
      </c>
      <c r="H43" s="9">
        <f t="shared" si="9"/>
        <v>418297586.92665434</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9" width="11.85546875" style="14" customWidth="1"/>
    <col min="10" max="10" width="14.140625" style="14" customWidth="1"/>
    <col min="11" max="11" width="11.8554687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232</v>
      </c>
    </row>
    <row r="3" spans="1:13" x14ac:dyDescent="0.25">
      <c r="A3" s="5" t="s">
        <v>76</v>
      </c>
    </row>
    <row r="4" spans="1:13" ht="43.35" customHeight="1" x14ac:dyDescent="0.25">
      <c r="B4" s="1" t="s">
        <v>77</v>
      </c>
      <c r="C4" s="110" t="s">
        <v>233</v>
      </c>
      <c r="D4" s="110"/>
      <c r="E4" s="110"/>
      <c r="F4" s="110"/>
      <c r="G4" s="110"/>
      <c r="H4" s="110"/>
      <c r="I4" s="110"/>
      <c r="J4" s="110"/>
      <c r="K4" s="110"/>
      <c r="L4" s="110"/>
    </row>
    <row r="5" spans="1:13" ht="98.45" customHeight="1" x14ac:dyDescent="0.25">
      <c r="B5" s="1" t="s">
        <v>79</v>
      </c>
      <c r="C5" s="110" t="s">
        <v>234</v>
      </c>
      <c r="D5" s="110"/>
      <c r="E5" s="110"/>
      <c r="F5" s="110"/>
      <c r="G5" s="110"/>
      <c r="H5" s="110"/>
      <c r="I5" s="110"/>
      <c r="J5" s="110"/>
      <c r="K5" s="110"/>
      <c r="L5" s="110"/>
    </row>
    <row r="6" spans="1:13" ht="64.7" customHeight="1" x14ac:dyDescent="0.25">
      <c r="B6" s="1" t="s">
        <v>81</v>
      </c>
      <c r="C6" s="110" t="s">
        <v>229</v>
      </c>
      <c r="D6" s="110"/>
      <c r="E6" s="110"/>
      <c r="F6" s="110"/>
      <c r="G6" s="110"/>
      <c r="H6" s="110"/>
      <c r="I6" s="110"/>
      <c r="J6" s="110"/>
      <c r="K6" s="110"/>
      <c r="L6" s="110"/>
    </row>
    <row r="7" spans="1:13" ht="34.700000000000003" customHeight="1" x14ac:dyDescent="0.25">
      <c r="B7" s="1" t="s">
        <v>83</v>
      </c>
      <c r="C7" s="110" t="s">
        <v>84</v>
      </c>
      <c r="D7" s="110"/>
      <c r="E7" s="110"/>
      <c r="F7" s="110"/>
      <c r="G7" s="110"/>
      <c r="H7" s="110"/>
      <c r="I7" s="110"/>
      <c r="J7" s="110"/>
      <c r="K7" s="110"/>
      <c r="L7" s="110"/>
    </row>
    <row r="8" spans="1:13" ht="38.450000000000003" customHeight="1" x14ac:dyDescent="0.25">
      <c r="B8" s="1" t="s">
        <v>85</v>
      </c>
      <c r="C8" s="110" t="s">
        <v>230</v>
      </c>
      <c r="D8" s="110"/>
      <c r="E8" s="110"/>
      <c r="F8" s="110"/>
      <c r="G8" s="110"/>
      <c r="H8" s="110"/>
      <c r="I8" s="110"/>
      <c r="J8" s="110"/>
      <c r="K8" s="110"/>
      <c r="L8" s="110"/>
    </row>
    <row r="9" spans="1:13" ht="15.75" thickBot="1" x14ac:dyDescent="0.3"/>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231</v>
      </c>
      <c r="D11" s="11"/>
      <c r="E11" s="102">
        <v>0</v>
      </c>
      <c r="F11" s="102">
        <v>0</v>
      </c>
      <c r="G11" s="102">
        <v>0</v>
      </c>
      <c r="H11" s="102">
        <v>20</v>
      </c>
      <c r="I11" s="102">
        <v>60</v>
      </c>
      <c r="J11" s="102">
        <v>60</v>
      </c>
      <c r="K11" s="102">
        <v>100</v>
      </c>
      <c r="L11" s="103">
        <f>K11</f>
        <v>100</v>
      </c>
    </row>
    <row r="12" spans="1:13" x14ac:dyDescent="0.25">
      <c r="B12" s="1" t="s">
        <v>10</v>
      </c>
      <c r="C12" s="10" t="s">
        <v>11</v>
      </c>
      <c r="D12" s="24">
        <f>SUM(E12:K12)</f>
        <v>343829451.22626591</v>
      </c>
      <c r="E12" s="15">
        <v>0</v>
      </c>
      <c r="F12" s="15">
        <v>0</v>
      </c>
      <c r="G12" s="15">
        <v>17150677.587843847</v>
      </c>
      <c r="H12" s="15">
        <v>34232349.951264784</v>
      </c>
      <c r="I12" s="15">
        <v>88207649.700440392</v>
      </c>
      <c r="J12" s="15">
        <v>139007968.21411404</v>
      </c>
      <c r="K12" s="15">
        <v>65230805.772602804</v>
      </c>
    </row>
    <row r="13" spans="1:13" x14ac:dyDescent="0.25">
      <c r="B13" s="1" t="s">
        <v>13</v>
      </c>
      <c r="C13" s="10" t="s">
        <v>11</v>
      </c>
      <c r="D13" s="24">
        <f>SUM(E13:K13)</f>
        <v>0</v>
      </c>
      <c r="E13" s="15">
        <v>0</v>
      </c>
      <c r="F13" s="15">
        <v>0</v>
      </c>
      <c r="G13" s="15">
        <v>0</v>
      </c>
      <c r="H13" s="15">
        <v>0</v>
      </c>
      <c r="I13" s="15">
        <v>0</v>
      </c>
      <c r="J13" s="15">
        <v>0</v>
      </c>
      <c r="K13" s="15">
        <v>0</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 delivered</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 delivered</v>
      </c>
      <c r="D27" s="106">
        <f>MAX(0,(D12+D13)/L11*D16-D18)</f>
        <v>1719147.2561313296</v>
      </c>
      <c r="E27" s="24">
        <f>$D27*$D$21</f>
        <v>0</v>
      </c>
      <c r="F27" s="24">
        <f>$D27*$D$22</f>
        <v>0</v>
      </c>
      <c r="G27" s="24">
        <f>$D27*$D$23</f>
        <v>1719147.2561313296</v>
      </c>
      <c r="H27" s="24">
        <f>$D27*$D$24*$D$17</f>
        <v>0</v>
      </c>
      <c r="I27" s="1"/>
      <c r="J27" s="1"/>
    </row>
    <row r="28" spans="1:10" x14ac:dyDescent="0.25">
      <c r="B28" s="1" t="s">
        <v>43</v>
      </c>
      <c r="C28" s="25" t="str">
        <f t="shared" si="0"/>
        <v>£/% delivered</v>
      </c>
      <c r="D28" s="106">
        <f>D27*D14</f>
        <v>55528.456373041947</v>
      </c>
      <c r="E28" s="24">
        <f t="shared" ref="E28:E29" si="1">$D28*$D$21</f>
        <v>0</v>
      </c>
      <c r="F28" s="24">
        <f t="shared" ref="F28:F29" si="2">$D28*$D$22</f>
        <v>0</v>
      </c>
      <c r="G28" s="24">
        <f t="shared" ref="G28:G29" si="3">$D28*$D$23</f>
        <v>55528.456373041947</v>
      </c>
      <c r="H28" s="24">
        <f>$D28*$D$24*$D$17</f>
        <v>0</v>
      </c>
      <c r="I28" s="1"/>
      <c r="J28" s="1"/>
    </row>
    <row r="29" spans="1:10" x14ac:dyDescent="0.25">
      <c r="B29" s="1" t="s">
        <v>45</v>
      </c>
      <c r="C29" s="25" t="str">
        <f t="shared" si="0"/>
        <v>£/% delivered</v>
      </c>
      <c r="D29" s="106">
        <f>MAX(0,((D12+D13)/L11)*D16*D15+D13*D16/SUM(E11:K11)-D18)+D28</f>
        <v>115698.61033763849</v>
      </c>
      <c r="E29" s="24">
        <f t="shared" si="1"/>
        <v>0</v>
      </c>
      <c r="F29" s="24">
        <f t="shared" si="2"/>
        <v>0</v>
      </c>
      <c r="G29" s="24">
        <f t="shared" si="3"/>
        <v>115698.61033763849</v>
      </c>
      <c r="H29" s="24">
        <f>$D29*$D$24*$D$17</f>
        <v>0</v>
      </c>
      <c r="I29" s="1"/>
      <c r="J29" s="1"/>
    </row>
    <row r="32" spans="1:10" x14ac:dyDescent="0.25">
      <c r="A32" s="5" t="s">
        <v>92</v>
      </c>
    </row>
    <row r="33" spans="1:12" x14ac:dyDescent="0.25">
      <c r="B33" s="1" t="s">
        <v>93</v>
      </c>
      <c r="E33" s="15">
        <v>0</v>
      </c>
      <c r="F33" s="15">
        <v>0</v>
      </c>
      <c r="G33" s="55">
        <v>0</v>
      </c>
      <c r="H33" s="55">
        <v>0.2</v>
      </c>
      <c r="I33" s="55">
        <v>0.6</v>
      </c>
      <c r="J33" s="55">
        <v>0.6</v>
      </c>
      <c r="K33" s="55">
        <v>1</v>
      </c>
      <c r="L33" s="64">
        <v>1</v>
      </c>
    </row>
    <row r="34" spans="1:12" x14ac:dyDescent="0.25">
      <c r="B34" s="1" t="s">
        <v>41</v>
      </c>
      <c r="E34" s="16"/>
      <c r="F34" s="16"/>
      <c r="G34" s="16"/>
      <c r="H34" s="16"/>
      <c r="I34" s="16"/>
      <c r="J34" s="16"/>
      <c r="K34" s="16"/>
      <c r="L34" s="14">
        <f>MAX(0,$L$11-L33)</f>
        <v>99</v>
      </c>
    </row>
    <row r="35" spans="1:12" x14ac:dyDescent="0.25">
      <c r="B35" s="1" t="s">
        <v>43</v>
      </c>
      <c r="E35" s="14">
        <f t="shared" ref="E35:H35" si="4">MAX(0,MIN(E$11-E33,$L$11-$L33))</f>
        <v>0</v>
      </c>
      <c r="F35" s="14">
        <f t="shared" si="4"/>
        <v>0</v>
      </c>
      <c r="G35" s="14">
        <f t="shared" si="4"/>
        <v>0</v>
      </c>
      <c r="H35" s="14">
        <f t="shared" si="4"/>
        <v>19.8</v>
      </c>
      <c r="I35" s="14">
        <f>MAX(0,MIN(I$11-I33,$L$11-$L33))</f>
        <v>59.4</v>
      </c>
      <c r="J35" s="14">
        <f t="shared" ref="J35:K35" si="5">MAX(0,MIN(J$11-J33,$L$11-$L33))</f>
        <v>59.4</v>
      </c>
      <c r="K35" s="14">
        <f t="shared" si="5"/>
        <v>99</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170195578.35700163</v>
      </c>
      <c r="G40" s="3">
        <f t="shared" si="7"/>
        <v>0</v>
      </c>
      <c r="H40" s="6">
        <f>SUM(D40:G40)</f>
        <v>170195578.35700163</v>
      </c>
    </row>
    <row r="41" spans="1:12" x14ac:dyDescent="0.25">
      <c r="B41" s="1" t="s">
        <v>43</v>
      </c>
      <c r="D41" s="3">
        <f t="shared" si="7"/>
        <v>0</v>
      </c>
      <c r="E41" s="3">
        <f t="shared" si="7"/>
        <v>0</v>
      </c>
      <c r="F41" s="3">
        <f t="shared" si="7"/>
        <v>13193561.234234767</v>
      </c>
      <c r="G41" s="3">
        <f t="shared" si="7"/>
        <v>0</v>
      </c>
      <c r="H41" s="6">
        <f t="shared" ref="H41:H42" si="8">SUM(D41:G41)</f>
        <v>13193561.234234767</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183389139.59123641</v>
      </c>
      <c r="G43" s="9">
        <f t="shared" si="9"/>
        <v>0</v>
      </c>
      <c r="H43" s="9">
        <f t="shared" si="9"/>
        <v>183389139.59123641</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66"/>
  <sheetViews>
    <sheetView zoomScale="112" zoomScaleNormal="112" workbookViewId="0">
      <pane xSplit="2" ySplit="3" topLeftCell="C4" activePane="bottomRight" state="frozen"/>
      <selection pane="topRight" activeCell="I44" sqref="I44"/>
      <selection pane="bottomLeft" activeCell="I44" sqref="I44"/>
      <selection pane="bottomRight" activeCell="C11" sqref="C11"/>
    </sheetView>
  </sheetViews>
  <sheetFormatPr defaultColWidth="8.85546875" defaultRowHeight="15" x14ac:dyDescent="0.25"/>
  <cols>
    <col min="1" max="1" width="2.5703125" style="5" customWidth="1"/>
    <col min="2" max="2" width="30.42578125" style="1" customWidth="1"/>
    <col min="3" max="3" width="8" style="10" customWidth="1"/>
    <col min="4" max="4" width="12.5703125" style="10" bestFit="1" customWidth="1"/>
    <col min="5" max="9" width="9.5703125" style="14" bestFit="1" customWidth="1"/>
    <col min="10" max="12" width="10.5703125" style="14" bestFit="1" customWidth="1"/>
    <col min="13" max="13" width="1.5703125" style="1" customWidth="1"/>
    <col min="14" max="14" width="11.5703125" style="3" bestFit="1" customWidth="1"/>
    <col min="15" max="15" width="1.5703125" style="1" customWidth="1"/>
    <col min="16" max="16" width="86.5703125" style="4" bestFit="1" customWidth="1"/>
    <col min="17" max="17" width="13.5703125" style="1" bestFit="1" customWidth="1"/>
    <col min="18" max="18" width="11.5703125" style="1" bestFit="1" customWidth="1"/>
    <col min="19" max="16384" width="8.85546875" style="1"/>
  </cols>
  <sheetData>
    <row r="1" spans="1:16" ht="18.75" x14ac:dyDescent="0.25">
      <c r="A1" s="2" t="s">
        <v>0</v>
      </c>
    </row>
    <row r="2" spans="1:16" ht="15.75" thickBot="1" x14ac:dyDescent="0.3"/>
    <row r="3" spans="1:16" ht="30" x14ac:dyDescent="0.25">
      <c r="A3" s="5" t="s">
        <v>1</v>
      </c>
      <c r="C3" s="11" t="s">
        <v>2</v>
      </c>
      <c r="D3" s="11" t="s">
        <v>3</v>
      </c>
      <c r="E3" s="18">
        <v>2024</v>
      </c>
      <c r="F3" s="18">
        <v>2025</v>
      </c>
      <c r="G3" s="18">
        <v>2026</v>
      </c>
      <c r="H3" s="18">
        <f>G3+1</f>
        <v>2027</v>
      </c>
      <c r="I3" s="18">
        <f>H3+1</f>
        <v>2028</v>
      </c>
      <c r="J3" s="18">
        <f>I3+1</f>
        <v>2029</v>
      </c>
      <c r="K3" s="18">
        <f>J3+1</f>
        <v>2030</v>
      </c>
      <c r="L3" s="33" t="s">
        <v>4</v>
      </c>
      <c r="M3" s="5"/>
      <c r="N3" s="6" t="s">
        <v>5</v>
      </c>
      <c r="P3" s="7" t="s">
        <v>6</v>
      </c>
    </row>
    <row r="4" spans="1:16" ht="30.75" thickBot="1" x14ac:dyDescent="0.3">
      <c r="B4" s="1" t="s">
        <v>7</v>
      </c>
      <c r="C4" s="26" t="s">
        <v>8</v>
      </c>
      <c r="E4" s="15">
        <v>0</v>
      </c>
      <c r="F4" s="15">
        <v>0</v>
      </c>
      <c r="G4" s="15">
        <v>1</v>
      </c>
      <c r="H4" s="15">
        <v>2</v>
      </c>
      <c r="I4" s="15">
        <v>3</v>
      </c>
      <c r="J4" s="15">
        <v>4</v>
      </c>
      <c r="K4" s="15">
        <v>5</v>
      </c>
      <c r="L4" s="50">
        <f>K4</f>
        <v>5</v>
      </c>
      <c r="P4" s="4" t="s">
        <v>9</v>
      </c>
    </row>
    <row r="5" spans="1:16" ht="30" x14ac:dyDescent="0.25">
      <c r="B5" s="1" t="s">
        <v>10</v>
      </c>
      <c r="C5" s="10" t="s">
        <v>11</v>
      </c>
      <c r="D5" s="3">
        <f>SUM(E5:K5)</f>
        <v>500</v>
      </c>
      <c r="E5" s="15">
        <v>0</v>
      </c>
      <c r="F5" s="15">
        <v>0</v>
      </c>
      <c r="G5" s="15">
        <v>100</v>
      </c>
      <c r="H5" s="15">
        <v>100</v>
      </c>
      <c r="I5" s="15">
        <v>100</v>
      </c>
      <c r="J5" s="15">
        <v>100</v>
      </c>
      <c r="K5" s="15">
        <v>100</v>
      </c>
      <c r="P5" s="4" t="s">
        <v>12</v>
      </c>
    </row>
    <row r="6" spans="1:16" ht="30" x14ac:dyDescent="0.25">
      <c r="B6" s="1" t="s">
        <v>13</v>
      </c>
      <c r="C6" s="10" t="s">
        <v>11</v>
      </c>
      <c r="D6" s="3">
        <f>SUM(E6:K6)</f>
        <v>150</v>
      </c>
      <c r="E6" s="15">
        <v>0</v>
      </c>
      <c r="F6" s="15">
        <v>0</v>
      </c>
      <c r="G6" s="15">
        <v>10</v>
      </c>
      <c r="H6" s="15">
        <v>20</v>
      </c>
      <c r="I6" s="15">
        <v>30</v>
      </c>
      <c r="J6" s="15">
        <v>40</v>
      </c>
      <c r="K6" s="15">
        <v>50</v>
      </c>
      <c r="P6" s="4" t="s">
        <v>14</v>
      </c>
    </row>
    <row r="7" spans="1:16" x14ac:dyDescent="0.25">
      <c r="B7" s="1" t="s">
        <v>15</v>
      </c>
      <c r="C7" s="10" t="s">
        <v>16</v>
      </c>
      <c r="D7" s="19">
        <v>3.2300000000000002E-2</v>
      </c>
      <c r="P7" s="4" t="s">
        <v>17</v>
      </c>
    </row>
    <row r="8" spans="1:16" ht="30" x14ac:dyDescent="0.25">
      <c r="B8" s="4" t="s">
        <v>18</v>
      </c>
      <c r="C8" s="10" t="s">
        <v>16</v>
      </c>
      <c r="D8" s="19">
        <v>3.5000000000000003E-2</v>
      </c>
      <c r="P8" s="4" t="s">
        <v>19</v>
      </c>
    </row>
    <row r="9" spans="1:16" x14ac:dyDescent="0.25">
      <c r="B9" s="1" t="s">
        <v>20</v>
      </c>
      <c r="C9" s="10" t="s">
        <v>16</v>
      </c>
      <c r="D9" s="19">
        <v>0.5</v>
      </c>
      <c r="P9" s="4" t="s">
        <v>21</v>
      </c>
    </row>
    <row r="10" spans="1:16" ht="30" x14ac:dyDescent="0.25">
      <c r="B10" s="1" t="s">
        <v>22</v>
      </c>
      <c r="C10" s="10" t="s">
        <v>16</v>
      </c>
      <c r="D10" s="19">
        <v>0.5</v>
      </c>
      <c r="P10" s="4" t="s">
        <v>23</v>
      </c>
    </row>
    <row r="11" spans="1:16" ht="30" x14ac:dyDescent="0.25">
      <c r="B11" s="1" t="s">
        <v>24</v>
      </c>
      <c r="C11" s="25" t="str">
        <f>"£/"&amp;$C$4</f>
        <v>£/unit</v>
      </c>
      <c r="D11" s="23">
        <v>0</v>
      </c>
      <c r="P11" s="4" t="s">
        <v>25</v>
      </c>
    </row>
    <row r="13" spans="1:16" x14ac:dyDescent="0.25">
      <c r="A13" s="5" t="s">
        <v>26</v>
      </c>
    </row>
    <row r="14" spans="1:16" x14ac:dyDescent="0.25">
      <c r="B14" s="1" t="s">
        <v>27</v>
      </c>
      <c r="C14" s="10" t="s">
        <v>16</v>
      </c>
      <c r="D14" s="20">
        <v>0</v>
      </c>
      <c r="P14" s="4" t="s">
        <v>28</v>
      </c>
    </row>
    <row r="15" spans="1:16" x14ac:dyDescent="0.25">
      <c r="B15" s="1" t="s">
        <v>29</v>
      </c>
      <c r="C15" s="10" t="s">
        <v>16</v>
      </c>
      <c r="D15" s="20">
        <v>1</v>
      </c>
      <c r="P15" s="4" t="s">
        <v>30</v>
      </c>
    </row>
    <row r="16" spans="1:16" x14ac:dyDescent="0.25">
      <c r="B16" s="1" t="s">
        <v>31</v>
      </c>
      <c r="C16" s="10" t="s">
        <v>16</v>
      </c>
      <c r="D16" s="20">
        <v>0</v>
      </c>
      <c r="P16" s="4" t="s">
        <v>32</v>
      </c>
    </row>
    <row r="17" spans="1:16" x14ac:dyDescent="0.25">
      <c r="B17" s="1" t="s">
        <v>33</v>
      </c>
      <c r="C17" s="10" t="s">
        <v>16</v>
      </c>
      <c r="D17" s="27">
        <f>1-SUM(D14:D16)</f>
        <v>0</v>
      </c>
      <c r="P17" s="4" t="s">
        <v>34</v>
      </c>
    </row>
    <row r="19" spans="1:16" x14ac:dyDescent="0.25">
      <c r="A19" s="5" t="s">
        <v>35</v>
      </c>
      <c r="D19" s="34" t="s">
        <v>36</v>
      </c>
      <c r="E19" s="22" t="s">
        <v>37</v>
      </c>
      <c r="F19" s="22" t="s">
        <v>38</v>
      </c>
      <c r="G19" s="22" t="s">
        <v>39</v>
      </c>
      <c r="H19" s="22" t="s">
        <v>40</v>
      </c>
      <c r="I19" s="1"/>
      <c r="J19" s="1"/>
    </row>
    <row r="20" spans="1:16" ht="30" x14ac:dyDescent="0.25">
      <c r="B20" s="1" t="s">
        <v>41</v>
      </c>
      <c r="C20" s="25" t="str">
        <f t="shared" ref="C20:C22" si="0">"£/"&amp;$C$4</f>
        <v>£/unit</v>
      </c>
      <c r="D20" s="51">
        <f>MAX(0,(D5+D6)/L4*D9-D11)</f>
        <v>65</v>
      </c>
      <c r="E20" s="3">
        <f>$D20*$D$14</f>
        <v>0</v>
      </c>
      <c r="F20" s="3">
        <f>$D20*$D$15</f>
        <v>65</v>
      </c>
      <c r="G20" s="3">
        <f>$D20*$D$16</f>
        <v>0</v>
      </c>
      <c r="H20" s="3">
        <f>$D20*$D$17*$D$10</f>
        <v>0</v>
      </c>
      <c r="I20" s="1"/>
      <c r="J20" s="1"/>
      <c r="P20" s="4" t="s">
        <v>42</v>
      </c>
    </row>
    <row r="21" spans="1:16" ht="30" x14ac:dyDescent="0.25">
      <c r="B21" s="1" t="s">
        <v>43</v>
      </c>
      <c r="C21" s="25" t="str">
        <f t="shared" si="0"/>
        <v>£/unit</v>
      </c>
      <c r="D21" s="51">
        <f>D20*D7</f>
        <v>2.0995000000000004</v>
      </c>
      <c r="E21" s="3">
        <f t="shared" ref="E21:E22" si="1">$D21*$D$14</f>
        <v>0</v>
      </c>
      <c r="F21" s="3">
        <f t="shared" ref="F21:F22" si="2">$D21*$D$15</f>
        <v>2.0995000000000004</v>
      </c>
      <c r="G21" s="3">
        <f t="shared" ref="G21:G22" si="3">$D21*$D$16</f>
        <v>0</v>
      </c>
      <c r="H21" s="3">
        <f>$D21*$D$17*$D$10</f>
        <v>0</v>
      </c>
      <c r="I21" s="1"/>
      <c r="J21" s="1"/>
      <c r="P21" s="4" t="s">
        <v>44</v>
      </c>
    </row>
    <row r="22" spans="1:16" ht="45" x14ac:dyDescent="0.25">
      <c r="B22" s="1" t="s">
        <v>45</v>
      </c>
      <c r="C22" s="25" t="str">
        <f t="shared" si="0"/>
        <v>£/unit</v>
      </c>
      <c r="D22" s="51">
        <f>MAX(0,((D5+D6)/L4)*D9*D8+D6*D9/SUM(E4:K4)-D11)+D21</f>
        <v>9.3745000000000012</v>
      </c>
      <c r="E22" s="3">
        <f t="shared" si="1"/>
        <v>0</v>
      </c>
      <c r="F22" s="3">
        <f t="shared" si="2"/>
        <v>9.3745000000000012</v>
      </c>
      <c r="G22" s="3">
        <f t="shared" si="3"/>
        <v>0</v>
      </c>
      <c r="H22" s="3">
        <f>$D22*$D$17*$D$10</f>
        <v>0</v>
      </c>
      <c r="I22" s="1"/>
      <c r="J22" s="1"/>
      <c r="P22" s="4" t="s">
        <v>46</v>
      </c>
    </row>
    <row r="24" spans="1:16" x14ac:dyDescent="0.25">
      <c r="A24" s="5" t="s">
        <v>47</v>
      </c>
    </row>
    <row r="25" spans="1:16" x14ac:dyDescent="0.25">
      <c r="B25" s="1" t="s">
        <v>48</v>
      </c>
      <c r="E25" s="15">
        <v>0</v>
      </c>
      <c r="F25" s="15">
        <v>0</v>
      </c>
      <c r="G25" s="15">
        <v>1</v>
      </c>
      <c r="H25" s="15">
        <v>2</v>
      </c>
      <c r="I25" s="15">
        <v>2</v>
      </c>
      <c r="J25" s="15">
        <v>3</v>
      </c>
      <c r="K25" s="15">
        <v>4</v>
      </c>
      <c r="L25" s="15">
        <v>4</v>
      </c>
      <c r="P25" s="13" t="s">
        <v>49</v>
      </c>
    </row>
    <row r="26" spans="1:16" x14ac:dyDescent="0.25">
      <c r="B26" s="1" t="s">
        <v>41</v>
      </c>
      <c r="E26" s="16"/>
      <c r="F26" s="16"/>
      <c r="G26" s="16"/>
      <c r="H26" s="16"/>
      <c r="I26" s="16"/>
      <c r="J26" s="16"/>
      <c r="K26" s="16"/>
      <c r="L26" s="14">
        <f>MAX(0,$L$4-L25)</f>
        <v>1</v>
      </c>
      <c r="N26" s="3">
        <f>SUM(E26:L26)*$F$20</f>
        <v>65</v>
      </c>
      <c r="P26" s="4" t="s">
        <v>50</v>
      </c>
    </row>
    <row r="27" spans="1:16" x14ac:dyDescent="0.25">
      <c r="B27" s="1" t="s">
        <v>43</v>
      </c>
      <c r="E27" s="14">
        <f>MAX(0,MIN(E$4-E25,$L$4-$L25))</f>
        <v>0</v>
      </c>
      <c r="F27" s="14">
        <f t="shared" ref="F27:K27" si="4">MAX(0,MIN(F$4-F25,$L$4-$L25))</f>
        <v>0</v>
      </c>
      <c r="G27" s="14">
        <f t="shared" si="4"/>
        <v>0</v>
      </c>
      <c r="H27" s="14">
        <f t="shared" si="4"/>
        <v>0</v>
      </c>
      <c r="I27" s="14">
        <f t="shared" si="4"/>
        <v>1</v>
      </c>
      <c r="J27" s="14">
        <f t="shared" si="4"/>
        <v>1</v>
      </c>
      <c r="K27" s="14">
        <f t="shared" si="4"/>
        <v>1</v>
      </c>
      <c r="L27" s="16"/>
      <c r="N27" s="3">
        <f>SUM(E27:L27)*$F$21</f>
        <v>6.2985000000000007</v>
      </c>
      <c r="P27" s="4" t="s">
        <v>51</v>
      </c>
    </row>
    <row r="28" spans="1:16" x14ac:dyDescent="0.25">
      <c r="B28" s="1" t="s">
        <v>45</v>
      </c>
      <c r="E28" s="14">
        <f>MAX(0,E$4-E25-($L$4-IF($L25&gt;$L$4,$L$4,$L25)))</f>
        <v>0</v>
      </c>
      <c r="F28" s="14">
        <f t="shared" ref="F28:K28" si="5">MAX(0,F$4-F25-($L$4-IF($L25&gt;$L$4,$L$4,$L25)))</f>
        <v>0</v>
      </c>
      <c r="G28" s="14">
        <f t="shared" si="5"/>
        <v>0</v>
      </c>
      <c r="H28" s="14">
        <f t="shared" si="5"/>
        <v>0</v>
      </c>
      <c r="I28" s="14">
        <f t="shared" si="5"/>
        <v>0</v>
      </c>
      <c r="J28" s="14">
        <f t="shared" si="5"/>
        <v>0</v>
      </c>
      <c r="K28" s="14">
        <f t="shared" si="5"/>
        <v>0</v>
      </c>
      <c r="L28" s="16"/>
      <c r="N28" s="3">
        <f>SUM(E28:L28)*$F$22</f>
        <v>0</v>
      </c>
      <c r="P28" s="4" t="s">
        <v>52</v>
      </c>
    </row>
    <row r="29" spans="1:16" ht="15.75" thickBot="1" x14ac:dyDescent="0.3">
      <c r="B29" s="8" t="s">
        <v>5</v>
      </c>
      <c r="C29" s="12"/>
      <c r="D29" s="12"/>
      <c r="E29" s="17"/>
      <c r="F29" s="17"/>
      <c r="G29" s="17"/>
      <c r="H29" s="17"/>
      <c r="I29" s="17"/>
      <c r="J29" s="17"/>
      <c r="K29" s="17"/>
      <c r="L29" s="17"/>
      <c r="M29" s="8"/>
      <c r="N29" s="9">
        <f>SUM(N26:N28)</f>
        <v>71.298500000000004</v>
      </c>
    </row>
    <row r="30" spans="1:16" ht="15.75" thickTop="1" x14ac:dyDescent="0.25"/>
    <row r="31" spans="1:16" ht="30" x14ac:dyDescent="0.25">
      <c r="B31" s="1" t="s">
        <v>53</v>
      </c>
      <c r="E31" s="15">
        <v>0</v>
      </c>
      <c r="F31" s="15">
        <v>0</v>
      </c>
      <c r="G31" s="15">
        <v>0</v>
      </c>
      <c r="H31" s="15">
        <v>1</v>
      </c>
      <c r="I31" s="15">
        <v>2</v>
      </c>
      <c r="J31" s="15">
        <v>3</v>
      </c>
      <c r="K31" s="15">
        <v>5</v>
      </c>
      <c r="L31" s="15">
        <v>5</v>
      </c>
      <c r="P31" s="13" t="s">
        <v>54</v>
      </c>
    </row>
    <row r="32" spans="1:16" x14ac:dyDescent="0.25">
      <c r="B32" s="1" t="s">
        <v>41</v>
      </c>
      <c r="E32" s="16"/>
      <c r="F32" s="16"/>
      <c r="G32" s="16"/>
      <c r="H32" s="16"/>
      <c r="I32" s="16"/>
      <c r="J32" s="16"/>
      <c r="K32" s="16"/>
      <c r="L32" s="14">
        <f>MAX(0,$L$4-L31)</f>
        <v>0</v>
      </c>
      <c r="N32" s="3">
        <f t="shared" ref="N32" si="6">SUM(E32:L32)*$F$20</f>
        <v>0</v>
      </c>
      <c r="P32" s="4" t="s">
        <v>55</v>
      </c>
    </row>
    <row r="33" spans="2:16" x14ac:dyDescent="0.25">
      <c r="B33" s="1" t="s">
        <v>43</v>
      </c>
      <c r="E33" s="14">
        <f>MAX(0,MIN(E$4-E31,$L$4-$L31))</f>
        <v>0</v>
      </c>
      <c r="F33" s="14">
        <f t="shared" ref="F33:K33" si="7">MAX(0,MIN(F$4-F31,$L$4-$L31))</f>
        <v>0</v>
      </c>
      <c r="G33" s="14">
        <f t="shared" si="7"/>
        <v>0</v>
      </c>
      <c r="H33" s="14">
        <f t="shared" si="7"/>
        <v>0</v>
      </c>
      <c r="I33" s="14">
        <f t="shared" si="7"/>
        <v>0</v>
      </c>
      <c r="J33" s="14">
        <f t="shared" si="7"/>
        <v>0</v>
      </c>
      <c r="K33" s="14">
        <f t="shared" si="7"/>
        <v>0</v>
      </c>
      <c r="L33" s="16"/>
      <c r="N33" s="3">
        <f t="shared" ref="N33" si="8">SUM(E33:L33)*$F$21</f>
        <v>0</v>
      </c>
      <c r="P33" s="4" t="s">
        <v>55</v>
      </c>
    </row>
    <row r="34" spans="2:16" x14ac:dyDescent="0.25">
      <c r="B34" s="1" t="s">
        <v>45</v>
      </c>
      <c r="E34" s="14">
        <f>MAX(0,E$4-E31-($L$4-IF($L31&gt;$L$4,$L$4,$L31)))</f>
        <v>0</v>
      </c>
      <c r="F34" s="14">
        <f t="shared" ref="F34:K34" si="9">MAX(0,F$4-F31-($L$4-IF($L31&gt;$L$4,$L$4,$L31)))</f>
        <v>0</v>
      </c>
      <c r="G34" s="14">
        <f t="shared" si="9"/>
        <v>1</v>
      </c>
      <c r="H34" s="14">
        <f t="shared" si="9"/>
        <v>1</v>
      </c>
      <c r="I34" s="14">
        <f t="shared" si="9"/>
        <v>1</v>
      </c>
      <c r="J34" s="14">
        <f t="shared" si="9"/>
        <v>1</v>
      </c>
      <c r="K34" s="14">
        <f t="shared" si="9"/>
        <v>0</v>
      </c>
      <c r="L34" s="16"/>
      <c r="N34" s="3">
        <f t="shared" ref="N34" si="10">SUM(E34:L34)*$F$22</f>
        <v>37.498000000000005</v>
      </c>
      <c r="P34" s="4" t="s">
        <v>56</v>
      </c>
    </row>
    <row r="35" spans="2:16" ht="15.75" thickBot="1" x14ac:dyDescent="0.3">
      <c r="B35" s="8" t="s">
        <v>5</v>
      </c>
      <c r="C35" s="12"/>
      <c r="D35" s="12"/>
      <c r="E35" s="17"/>
      <c r="F35" s="17"/>
      <c r="G35" s="17"/>
      <c r="H35" s="17"/>
      <c r="I35" s="17"/>
      <c r="J35" s="17"/>
      <c r="K35" s="17"/>
      <c r="L35" s="17"/>
      <c r="M35" s="8"/>
      <c r="N35" s="9">
        <f t="shared" ref="N35" si="11">SUM(N32:N34)</f>
        <v>37.498000000000005</v>
      </c>
    </row>
    <row r="36" spans="2:16" ht="15.75" thickTop="1" x14ac:dyDescent="0.25"/>
    <row r="37" spans="2:16" x14ac:dyDescent="0.25">
      <c r="B37" s="1" t="s">
        <v>57</v>
      </c>
      <c r="E37" s="15">
        <v>0</v>
      </c>
      <c r="F37" s="15">
        <v>0</v>
      </c>
      <c r="G37" s="15">
        <v>1</v>
      </c>
      <c r="H37" s="15">
        <v>1</v>
      </c>
      <c r="I37" s="15">
        <v>1</v>
      </c>
      <c r="J37" s="15">
        <v>1</v>
      </c>
      <c r="K37" s="15">
        <v>4</v>
      </c>
      <c r="L37" s="15">
        <v>4</v>
      </c>
      <c r="P37" s="13" t="s">
        <v>58</v>
      </c>
    </row>
    <row r="38" spans="2:16" x14ac:dyDescent="0.25">
      <c r="B38" s="1" t="s">
        <v>41</v>
      </c>
      <c r="E38" s="16"/>
      <c r="F38" s="16"/>
      <c r="G38" s="16"/>
      <c r="H38" s="16"/>
      <c r="I38" s="16"/>
      <c r="J38" s="16"/>
      <c r="K38" s="16"/>
      <c r="L38" s="14">
        <f>MAX(0,$L$4-L37)</f>
        <v>1</v>
      </c>
      <c r="N38" s="3">
        <f t="shared" ref="N38" si="12">SUM(E38:L38)*$F$20</f>
        <v>65</v>
      </c>
      <c r="P38" s="4" t="s">
        <v>50</v>
      </c>
    </row>
    <row r="39" spans="2:16" x14ac:dyDescent="0.25">
      <c r="B39" s="1" t="s">
        <v>43</v>
      </c>
      <c r="E39" s="14">
        <f>MAX(0,MIN(E$4-E37,$L$4-$L37))</f>
        <v>0</v>
      </c>
      <c r="F39" s="14">
        <f t="shared" ref="F39:K39" si="13">MAX(0,MIN(F$4-F37,$L$4-$L37))</f>
        <v>0</v>
      </c>
      <c r="G39" s="14">
        <f t="shared" si="13"/>
        <v>0</v>
      </c>
      <c r="H39" s="14">
        <f t="shared" si="13"/>
        <v>1</v>
      </c>
      <c r="I39" s="14">
        <f t="shared" si="13"/>
        <v>1</v>
      </c>
      <c r="J39" s="14">
        <f t="shared" si="13"/>
        <v>1</v>
      </c>
      <c r="K39" s="14">
        <f t="shared" si="13"/>
        <v>1</v>
      </c>
      <c r="L39" s="16"/>
      <c r="N39" s="3">
        <f t="shared" ref="N39" si="14">SUM(E39:L39)*$F$21</f>
        <v>8.3980000000000015</v>
      </c>
      <c r="P39" s="4" t="s">
        <v>59</v>
      </c>
    </row>
    <row r="40" spans="2:16" ht="30" x14ac:dyDescent="0.25">
      <c r="B40" s="1" t="s">
        <v>45</v>
      </c>
      <c r="E40" s="14">
        <f>MAX(0,E$4-E37-($L$4-IF($L37&gt;$L$4,$L$4,$L37)))</f>
        <v>0</v>
      </c>
      <c r="F40" s="14">
        <f t="shared" ref="F40:K40" si="15">MAX(0,F$4-F37-($L$4-IF($L37&gt;$L$4,$L$4,$L37)))</f>
        <v>0</v>
      </c>
      <c r="G40" s="14">
        <f t="shared" si="15"/>
        <v>0</v>
      </c>
      <c r="H40" s="14">
        <f t="shared" si="15"/>
        <v>0</v>
      </c>
      <c r="I40" s="14">
        <f t="shared" si="15"/>
        <v>1</v>
      </c>
      <c r="J40" s="14">
        <f t="shared" si="15"/>
        <v>2</v>
      </c>
      <c r="K40" s="14">
        <f t="shared" si="15"/>
        <v>0</v>
      </c>
      <c r="L40" s="16"/>
      <c r="N40" s="3">
        <f t="shared" ref="N40" si="16">SUM(E40:L40)*$F$22</f>
        <v>28.123500000000003</v>
      </c>
      <c r="P40" s="4" t="s">
        <v>60</v>
      </c>
    </row>
    <row r="41" spans="2:16" ht="15.75" thickBot="1" x14ac:dyDescent="0.3">
      <c r="B41" s="8" t="s">
        <v>5</v>
      </c>
      <c r="C41" s="12"/>
      <c r="D41" s="12"/>
      <c r="E41" s="17"/>
      <c r="F41" s="17"/>
      <c r="G41" s="17"/>
      <c r="H41" s="17"/>
      <c r="I41" s="17"/>
      <c r="J41" s="17"/>
      <c r="K41" s="17"/>
      <c r="L41" s="17"/>
      <c r="M41" s="8"/>
      <c r="N41" s="9">
        <f t="shared" ref="N41" si="17">SUM(N38:N40)</f>
        <v>101.5215</v>
      </c>
    </row>
    <row r="42" spans="2:16" ht="15.75" thickTop="1" x14ac:dyDescent="0.25"/>
    <row r="43" spans="2:16" ht="30" x14ac:dyDescent="0.25">
      <c r="B43" s="1" t="s">
        <v>61</v>
      </c>
      <c r="E43" s="15">
        <v>0</v>
      </c>
      <c r="F43" s="15">
        <v>0</v>
      </c>
      <c r="G43" s="15">
        <v>0</v>
      </c>
      <c r="H43" s="15">
        <v>1</v>
      </c>
      <c r="I43" s="15">
        <v>2</v>
      </c>
      <c r="J43" s="15">
        <v>3</v>
      </c>
      <c r="K43" s="15">
        <v>4</v>
      </c>
      <c r="L43" s="15">
        <v>5</v>
      </c>
      <c r="P43" s="13" t="s">
        <v>62</v>
      </c>
    </row>
    <row r="44" spans="2:16" x14ac:dyDescent="0.25">
      <c r="B44" s="1" t="s">
        <v>41</v>
      </c>
      <c r="E44" s="16"/>
      <c r="F44" s="16"/>
      <c r="G44" s="16"/>
      <c r="H44" s="16"/>
      <c r="I44" s="16"/>
      <c r="J44" s="16"/>
      <c r="K44" s="16"/>
      <c r="L44" s="14">
        <f>MAX(0,$L$4-L43)</f>
        <v>0</v>
      </c>
      <c r="N44" s="3">
        <f t="shared" ref="N44" si="18">SUM(E44:L44)*$F$20</f>
        <v>0</v>
      </c>
      <c r="P44" s="4" t="s">
        <v>55</v>
      </c>
    </row>
    <row r="45" spans="2:16" x14ac:dyDescent="0.25">
      <c r="B45" s="1" t="s">
        <v>43</v>
      </c>
      <c r="E45" s="14">
        <f>MAX(0,MIN(E$4-E43,$L$4-$L43))</f>
        <v>0</v>
      </c>
      <c r="F45" s="14">
        <f t="shared" ref="F45:K45" si="19">MAX(0,MIN(F$4-F43,$L$4-$L43))</f>
        <v>0</v>
      </c>
      <c r="G45" s="14">
        <f t="shared" si="19"/>
        <v>0</v>
      </c>
      <c r="H45" s="14">
        <f t="shared" si="19"/>
        <v>0</v>
      </c>
      <c r="I45" s="14">
        <f t="shared" si="19"/>
        <v>0</v>
      </c>
      <c r="J45" s="14">
        <f t="shared" si="19"/>
        <v>0</v>
      </c>
      <c r="K45" s="14">
        <f t="shared" si="19"/>
        <v>0</v>
      </c>
      <c r="L45" s="16"/>
      <c r="N45" s="3">
        <f t="shared" ref="N45" si="20">SUM(E45:L45)*$F$21</f>
        <v>0</v>
      </c>
      <c r="P45" s="4" t="s">
        <v>55</v>
      </c>
    </row>
    <row r="46" spans="2:16" x14ac:dyDescent="0.25">
      <c r="B46" s="1" t="s">
        <v>45</v>
      </c>
      <c r="E46" s="14">
        <f>MAX(0,E$4-E43-($L$4-IF($L43&gt;$L$4,$L$4,$L43)))</f>
        <v>0</v>
      </c>
      <c r="F46" s="14">
        <f t="shared" ref="F46:K46" si="21">MAX(0,F$4-F43-($L$4-IF($L43&gt;$L$4,$L$4,$L43)))</f>
        <v>0</v>
      </c>
      <c r="G46" s="14">
        <f t="shared" si="21"/>
        <v>1</v>
      </c>
      <c r="H46" s="14">
        <f t="shared" si="21"/>
        <v>1</v>
      </c>
      <c r="I46" s="14">
        <f t="shared" si="21"/>
        <v>1</v>
      </c>
      <c r="J46" s="14">
        <f t="shared" si="21"/>
        <v>1</v>
      </c>
      <c r="K46" s="14">
        <f t="shared" si="21"/>
        <v>1</v>
      </c>
      <c r="L46" s="16"/>
      <c r="N46" s="3">
        <f t="shared" ref="N46" si="22">SUM(E46:L46)*$F$22</f>
        <v>46.872500000000002</v>
      </c>
      <c r="P46" s="4" t="s">
        <v>63</v>
      </c>
    </row>
    <row r="47" spans="2:16" ht="15.75" thickBot="1" x14ac:dyDescent="0.3">
      <c r="B47" s="8" t="s">
        <v>5</v>
      </c>
      <c r="C47" s="12"/>
      <c r="D47" s="12"/>
      <c r="E47" s="17"/>
      <c r="F47" s="17"/>
      <c r="G47" s="17"/>
      <c r="H47" s="17"/>
      <c r="I47" s="17"/>
      <c r="J47" s="17"/>
      <c r="K47" s="17"/>
      <c r="L47" s="17"/>
      <c r="M47" s="8"/>
      <c r="N47" s="9">
        <f t="shared" ref="N47" si="23">SUM(N44:N46)</f>
        <v>46.872500000000002</v>
      </c>
    </row>
    <row r="48" spans="2:16" ht="15.75" thickTop="1" x14ac:dyDescent="0.25"/>
    <row r="49" spans="2:16" x14ac:dyDescent="0.25">
      <c r="B49" s="1" t="s">
        <v>64</v>
      </c>
      <c r="E49" s="15">
        <v>0</v>
      </c>
      <c r="F49" s="15">
        <v>0</v>
      </c>
      <c r="G49" s="15">
        <v>2</v>
      </c>
      <c r="H49" s="15">
        <v>2</v>
      </c>
      <c r="I49" s="15">
        <v>3</v>
      </c>
      <c r="J49" s="15">
        <v>3</v>
      </c>
      <c r="K49" s="15">
        <v>5</v>
      </c>
      <c r="L49" s="15">
        <v>5</v>
      </c>
      <c r="P49" s="13" t="s">
        <v>65</v>
      </c>
    </row>
    <row r="50" spans="2:16" x14ac:dyDescent="0.25">
      <c r="B50" s="1" t="s">
        <v>41</v>
      </c>
      <c r="E50" s="16"/>
      <c r="F50" s="16"/>
      <c r="G50" s="16"/>
      <c r="H50" s="16"/>
      <c r="I50" s="16"/>
      <c r="J50" s="16"/>
      <c r="K50" s="16"/>
      <c r="L50" s="14">
        <f>MAX(0,$L$4-L49)</f>
        <v>0</v>
      </c>
      <c r="N50" s="3">
        <f t="shared" ref="N50" si="24">SUM(E50:L50)*$F$20</f>
        <v>0</v>
      </c>
      <c r="P50" s="4" t="s">
        <v>55</v>
      </c>
    </row>
    <row r="51" spans="2:16" x14ac:dyDescent="0.25">
      <c r="B51" s="1" t="s">
        <v>43</v>
      </c>
      <c r="E51" s="14">
        <f>MAX(0,MIN(E$4-E49,$L$4-$L49))</f>
        <v>0</v>
      </c>
      <c r="F51" s="14">
        <f t="shared" ref="F51:K51" si="25">MAX(0,MIN(F$4-F49,$L$4-$L49))</f>
        <v>0</v>
      </c>
      <c r="G51" s="14">
        <f t="shared" si="25"/>
        <v>0</v>
      </c>
      <c r="H51" s="14">
        <f t="shared" si="25"/>
        <v>0</v>
      </c>
      <c r="I51" s="14">
        <f t="shared" si="25"/>
        <v>0</v>
      </c>
      <c r="J51" s="14">
        <f t="shared" si="25"/>
        <v>0</v>
      </c>
      <c r="K51" s="14">
        <f t="shared" si="25"/>
        <v>0</v>
      </c>
      <c r="L51" s="16"/>
      <c r="N51" s="3">
        <f t="shared" ref="N51" si="26">SUM(E51:L51)*$F$21</f>
        <v>0</v>
      </c>
      <c r="P51" s="4" t="s">
        <v>55</v>
      </c>
    </row>
    <row r="52" spans="2:16" x14ac:dyDescent="0.25">
      <c r="B52" s="1" t="s">
        <v>45</v>
      </c>
      <c r="E52" s="14">
        <f>MAX(0,E$4-E49-($L$4-IF($L49&gt;$L$4,$L$4,$L49)))</f>
        <v>0</v>
      </c>
      <c r="F52" s="14">
        <f t="shared" ref="F52:K52" si="27">MAX(0,F$4-F49-($L$4-IF($L49&gt;$L$4,$L$4,$L49)))</f>
        <v>0</v>
      </c>
      <c r="G52" s="14">
        <f t="shared" si="27"/>
        <v>0</v>
      </c>
      <c r="H52" s="14">
        <f t="shared" si="27"/>
        <v>0</v>
      </c>
      <c r="I52" s="14">
        <f t="shared" si="27"/>
        <v>0</v>
      </c>
      <c r="J52" s="14">
        <f t="shared" si="27"/>
        <v>1</v>
      </c>
      <c r="K52" s="14">
        <f t="shared" si="27"/>
        <v>0</v>
      </c>
      <c r="L52" s="16"/>
      <c r="N52" s="3">
        <f t="shared" ref="N52" si="28">SUM(E52:L52)*$F$22</f>
        <v>9.3745000000000012</v>
      </c>
      <c r="P52" s="4" t="s">
        <v>66</v>
      </c>
    </row>
    <row r="53" spans="2:16" ht="15.75" thickBot="1" x14ac:dyDescent="0.3">
      <c r="B53" s="8" t="s">
        <v>5</v>
      </c>
      <c r="C53" s="12"/>
      <c r="D53" s="12"/>
      <c r="E53" s="17"/>
      <c r="F53" s="17"/>
      <c r="G53" s="17"/>
      <c r="H53" s="17"/>
      <c r="I53" s="17"/>
      <c r="J53" s="17"/>
      <c r="K53" s="17"/>
      <c r="L53" s="17"/>
      <c r="M53" s="8"/>
      <c r="N53" s="9">
        <f t="shared" ref="N53" si="29">SUM(N50:N52)</f>
        <v>9.3745000000000012</v>
      </c>
    </row>
    <row r="54" spans="2:16" ht="15.75" thickTop="1" x14ac:dyDescent="0.25"/>
    <row r="55" spans="2:16" x14ac:dyDescent="0.25">
      <c r="B55" s="1" t="s">
        <v>67</v>
      </c>
      <c r="E55" s="15">
        <v>0</v>
      </c>
      <c r="F55" s="15">
        <v>0</v>
      </c>
      <c r="G55" s="15">
        <v>2</v>
      </c>
      <c r="H55" s="15">
        <v>3</v>
      </c>
      <c r="I55" s="15">
        <v>4</v>
      </c>
      <c r="J55" s="15">
        <v>5</v>
      </c>
      <c r="K55" s="15">
        <v>6</v>
      </c>
      <c r="L55" s="15">
        <v>6</v>
      </c>
      <c r="P55" s="13" t="s">
        <v>68</v>
      </c>
    </row>
    <row r="56" spans="2:16" x14ac:dyDescent="0.25">
      <c r="B56" s="1" t="s">
        <v>41</v>
      </c>
      <c r="E56" s="16"/>
      <c r="F56" s="16"/>
      <c r="G56" s="16"/>
      <c r="H56" s="16"/>
      <c r="I56" s="16"/>
      <c r="J56" s="16"/>
      <c r="K56" s="16"/>
      <c r="L56" s="14">
        <f>MAX(0,$L$4-L55)</f>
        <v>0</v>
      </c>
      <c r="N56" s="3">
        <f t="shared" ref="N56" si="30">SUM(E56:L56)*$F$20</f>
        <v>0</v>
      </c>
      <c r="P56" s="4" t="s">
        <v>69</v>
      </c>
    </row>
    <row r="57" spans="2:16" x14ac:dyDescent="0.25">
      <c r="B57" s="1" t="s">
        <v>43</v>
      </c>
      <c r="E57" s="14">
        <f>MAX(0,MIN(E$4-E55,$L$4-$L55))</f>
        <v>0</v>
      </c>
      <c r="F57" s="14">
        <f t="shared" ref="F57:K57" si="31">MAX(0,MIN(F$4-F55,$L$4-$L55))</f>
        <v>0</v>
      </c>
      <c r="G57" s="14">
        <f t="shared" si="31"/>
        <v>0</v>
      </c>
      <c r="H57" s="14">
        <f t="shared" si="31"/>
        <v>0</v>
      </c>
      <c r="I57" s="14">
        <f t="shared" si="31"/>
        <v>0</v>
      </c>
      <c r="J57" s="14">
        <f t="shared" si="31"/>
        <v>0</v>
      </c>
      <c r="K57" s="14">
        <f t="shared" si="31"/>
        <v>0</v>
      </c>
      <c r="L57" s="16"/>
      <c r="N57" s="3">
        <f t="shared" ref="N57" si="32">SUM(E57:L57)*$F$21</f>
        <v>0</v>
      </c>
    </row>
    <row r="58" spans="2:16" x14ac:dyDescent="0.25">
      <c r="B58" s="1" t="s">
        <v>45</v>
      </c>
      <c r="E58" s="14">
        <f>MAX(0,E$4-E55-($L$4-IF($L55&gt;$L$4,$L$4,$L55)))</f>
        <v>0</v>
      </c>
      <c r="F58" s="14">
        <f t="shared" ref="F58:K58" si="33">MAX(0,F$4-F55-($L$4-IF($L55&gt;$L$4,$L$4,$L55)))</f>
        <v>0</v>
      </c>
      <c r="G58" s="14">
        <f t="shared" si="33"/>
        <v>0</v>
      </c>
      <c r="H58" s="14">
        <f t="shared" si="33"/>
        <v>0</v>
      </c>
      <c r="I58" s="14">
        <f t="shared" si="33"/>
        <v>0</v>
      </c>
      <c r="J58" s="14">
        <f t="shared" si="33"/>
        <v>0</v>
      </c>
      <c r="K58" s="14">
        <f t="shared" si="33"/>
        <v>0</v>
      </c>
      <c r="L58" s="16"/>
      <c r="N58" s="3">
        <f t="shared" ref="N58" si="34">SUM(E58:L58)*$F$22</f>
        <v>0</v>
      </c>
    </row>
    <row r="59" spans="2:16" ht="15.75" thickBot="1" x14ac:dyDescent="0.3">
      <c r="B59" s="8" t="s">
        <v>5</v>
      </c>
      <c r="C59" s="12"/>
      <c r="D59" s="12"/>
      <c r="E59" s="17"/>
      <c r="F59" s="17"/>
      <c r="G59" s="17"/>
      <c r="H59" s="17"/>
      <c r="I59" s="17"/>
      <c r="J59" s="17"/>
      <c r="K59" s="17"/>
      <c r="L59" s="17"/>
      <c r="M59" s="8"/>
      <c r="N59" s="9">
        <f t="shared" ref="N59" si="35">SUM(N56:N58)</f>
        <v>0</v>
      </c>
    </row>
    <row r="60" spans="2:16" ht="15.75" thickTop="1" x14ac:dyDescent="0.25"/>
    <row r="61" spans="2:16" x14ac:dyDescent="0.25">
      <c r="B61" s="1" t="s">
        <v>70</v>
      </c>
      <c r="E61" s="15">
        <v>0</v>
      </c>
      <c r="F61" s="15">
        <v>0</v>
      </c>
      <c r="G61" s="15">
        <v>0</v>
      </c>
      <c r="H61" s="15">
        <v>0</v>
      </c>
      <c r="I61" s="15">
        <v>0</v>
      </c>
      <c r="J61" s="15">
        <v>0</v>
      </c>
      <c r="K61" s="15">
        <v>0</v>
      </c>
      <c r="L61" s="15">
        <v>0</v>
      </c>
      <c r="P61" s="13" t="s">
        <v>71</v>
      </c>
    </row>
    <row r="62" spans="2:16" ht="30" x14ac:dyDescent="0.25">
      <c r="B62" s="1" t="s">
        <v>41</v>
      </c>
      <c r="E62" s="16"/>
      <c r="F62" s="16"/>
      <c r="G62" s="16"/>
      <c r="H62" s="16"/>
      <c r="I62" s="16"/>
      <c r="J62" s="16"/>
      <c r="K62" s="16"/>
      <c r="L62" s="14">
        <f>MAX(0,$L$4-L61)</f>
        <v>5</v>
      </c>
      <c r="N62" s="3">
        <f t="shared" ref="N62" si="36">SUM(E62:L62)*$F$20</f>
        <v>325</v>
      </c>
      <c r="P62" s="4" t="s">
        <v>72</v>
      </c>
    </row>
    <row r="63" spans="2:16" x14ac:dyDescent="0.25">
      <c r="B63" s="1" t="s">
        <v>43</v>
      </c>
      <c r="E63" s="14">
        <f>MAX(0,MIN(E$4-E61,$L$4-$L61))</f>
        <v>0</v>
      </c>
      <c r="F63" s="14">
        <f t="shared" ref="F63:K63" si="37">MAX(0,MIN(F$4-F61,$L$4-$L61))</f>
        <v>0</v>
      </c>
      <c r="G63" s="14">
        <f t="shared" si="37"/>
        <v>1</v>
      </c>
      <c r="H63" s="14">
        <f t="shared" si="37"/>
        <v>2</v>
      </c>
      <c r="I63" s="14">
        <f t="shared" si="37"/>
        <v>3</v>
      </c>
      <c r="J63" s="14">
        <f t="shared" si="37"/>
        <v>4</v>
      </c>
      <c r="K63" s="14">
        <f t="shared" si="37"/>
        <v>5</v>
      </c>
      <c r="L63" s="16"/>
      <c r="N63" s="3">
        <f t="shared" ref="N63" si="38">SUM(E63:L63)*$F$21</f>
        <v>31.492500000000007</v>
      </c>
      <c r="P63" s="4" t="s">
        <v>73</v>
      </c>
    </row>
    <row r="64" spans="2:16" x14ac:dyDescent="0.25">
      <c r="B64" s="1" t="s">
        <v>45</v>
      </c>
      <c r="E64" s="14">
        <f>MAX(0,E$4-E61-($L$4-IF($L61&gt;$L$4,$L$4,$L61)))</f>
        <v>0</v>
      </c>
      <c r="F64" s="14">
        <f t="shared" ref="F64:K64" si="39">MAX(0,F$4-F61-($L$4-IF($L61&gt;$L$4,$L$4,$L61)))</f>
        <v>0</v>
      </c>
      <c r="G64" s="14">
        <f t="shared" si="39"/>
        <v>0</v>
      </c>
      <c r="H64" s="14">
        <f t="shared" si="39"/>
        <v>0</v>
      </c>
      <c r="I64" s="14">
        <f t="shared" si="39"/>
        <v>0</v>
      </c>
      <c r="J64" s="14">
        <f t="shared" si="39"/>
        <v>0</v>
      </c>
      <c r="K64" s="14">
        <f t="shared" si="39"/>
        <v>0</v>
      </c>
      <c r="L64" s="16"/>
      <c r="N64" s="3">
        <f t="shared" ref="N64" si="40">SUM(E64:L64)*$F$22</f>
        <v>0</v>
      </c>
      <c r="P64" s="4" t="s">
        <v>74</v>
      </c>
    </row>
    <row r="65" spans="2:14" ht="15.75" thickBot="1" x14ac:dyDescent="0.3">
      <c r="B65" s="8" t="s">
        <v>5</v>
      </c>
      <c r="C65" s="12"/>
      <c r="D65" s="12"/>
      <c r="E65" s="17"/>
      <c r="F65" s="17"/>
      <c r="G65" s="17"/>
      <c r="H65" s="17"/>
      <c r="I65" s="17"/>
      <c r="J65" s="17"/>
      <c r="K65" s="17"/>
      <c r="L65" s="17"/>
      <c r="M65" s="8"/>
      <c r="N65" s="9">
        <f t="shared" ref="N65" si="41">SUM(N62:N64)</f>
        <v>356.49250000000001</v>
      </c>
    </row>
    <row r="66" spans="2:14" ht="15.75" thickTop="1" x14ac:dyDescent="0.25"/>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11" width="11.8554687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235</v>
      </c>
    </row>
    <row r="3" spans="1:13" x14ac:dyDescent="0.25">
      <c r="A3" s="5" t="s">
        <v>76</v>
      </c>
    </row>
    <row r="4" spans="1:13" ht="28.7" customHeight="1" x14ac:dyDescent="0.25">
      <c r="B4" s="1" t="s">
        <v>77</v>
      </c>
      <c r="C4" s="110" t="s">
        <v>236</v>
      </c>
      <c r="D4" s="110"/>
      <c r="E4" s="110"/>
      <c r="F4" s="110"/>
      <c r="G4" s="110"/>
      <c r="H4" s="110"/>
      <c r="I4" s="110"/>
      <c r="J4" s="110"/>
      <c r="K4" s="110"/>
      <c r="L4" s="110"/>
    </row>
    <row r="5" spans="1:13" ht="52.35" customHeight="1" x14ac:dyDescent="0.25">
      <c r="B5" s="1" t="s">
        <v>79</v>
      </c>
      <c r="C5" s="110" t="s">
        <v>237</v>
      </c>
      <c r="D5" s="110"/>
      <c r="E5" s="110"/>
      <c r="F5" s="110"/>
      <c r="G5" s="110"/>
      <c r="H5" s="110"/>
      <c r="I5" s="110"/>
      <c r="J5" s="110"/>
      <c r="K5" s="110"/>
      <c r="L5" s="110"/>
    </row>
    <row r="6" spans="1:13" ht="21" customHeight="1" x14ac:dyDescent="0.25">
      <c r="B6" s="1" t="s">
        <v>81</v>
      </c>
      <c r="C6" s="110" t="s">
        <v>238</v>
      </c>
      <c r="D6" s="110"/>
      <c r="E6" s="110"/>
      <c r="F6" s="110"/>
      <c r="G6" s="110"/>
      <c r="H6" s="110"/>
      <c r="I6" s="110"/>
      <c r="J6" s="110"/>
      <c r="K6" s="110"/>
      <c r="L6" s="110"/>
    </row>
    <row r="7" spans="1:13" ht="21.6" customHeight="1" x14ac:dyDescent="0.25">
      <c r="B7" s="1" t="s">
        <v>83</v>
      </c>
      <c r="C7" s="110" t="s">
        <v>84</v>
      </c>
      <c r="D7" s="110"/>
      <c r="E7" s="110"/>
      <c r="F7" s="110"/>
      <c r="G7" s="110"/>
      <c r="H7" s="110"/>
      <c r="I7" s="110"/>
      <c r="J7" s="110"/>
      <c r="K7" s="110"/>
      <c r="L7" s="110"/>
    </row>
    <row r="8" spans="1:13" ht="50.1" customHeight="1" x14ac:dyDescent="0.25">
      <c r="B8" s="1" t="s">
        <v>85</v>
      </c>
      <c r="C8" s="110" t="s">
        <v>239</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45.75" thickBot="1" x14ac:dyDescent="0.3">
      <c r="B11" s="5" t="s">
        <v>88</v>
      </c>
      <c r="C11" s="94" t="s">
        <v>240</v>
      </c>
      <c r="D11" s="11"/>
      <c r="E11" s="87">
        <v>0</v>
      </c>
      <c r="F11" s="87">
        <v>0</v>
      </c>
      <c r="G11" s="87">
        <v>0</v>
      </c>
      <c r="H11" s="87">
        <v>0</v>
      </c>
      <c r="I11" s="87">
        <v>6532</v>
      </c>
      <c r="J11" s="87">
        <v>29383</v>
      </c>
      <c r="K11" s="87">
        <v>61736</v>
      </c>
      <c r="L11" s="59">
        <f>K11</f>
        <v>61736</v>
      </c>
    </row>
    <row r="12" spans="1:13" x14ac:dyDescent="0.25">
      <c r="B12" s="1" t="s">
        <v>10</v>
      </c>
      <c r="C12" s="10" t="s">
        <v>11</v>
      </c>
      <c r="D12" s="24">
        <f>SUM(E12:K12)</f>
        <v>136233836.87512219</v>
      </c>
      <c r="E12" s="15">
        <v>342517.47608835838</v>
      </c>
      <c r="F12" s="15">
        <v>1600973.2797181197</v>
      </c>
      <c r="G12" s="15">
        <v>11010030.772963181</v>
      </c>
      <c r="H12" s="15">
        <v>22676147.903986555</v>
      </c>
      <c r="I12" s="15">
        <v>47496936.366532654</v>
      </c>
      <c r="J12" s="15">
        <v>42550246.567302011</v>
      </c>
      <c r="K12" s="15">
        <v>10556984.508531297</v>
      </c>
    </row>
    <row r="13" spans="1:13" x14ac:dyDescent="0.25">
      <c r="B13" s="1" t="s">
        <v>13</v>
      </c>
      <c r="C13" s="10" t="s">
        <v>11</v>
      </c>
      <c r="D13" s="24">
        <f>SUM(E13:K13)</f>
        <v>804556.91357427626</v>
      </c>
      <c r="E13" s="15">
        <v>0</v>
      </c>
      <c r="F13" s="15">
        <v>0</v>
      </c>
      <c r="G13" s="15">
        <v>0</v>
      </c>
      <c r="H13" s="15">
        <v>0</v>
      </c>
      <c r="I13" s="15">
        <v>23565.367047628471</v>
      </c>
      <c r="J13" s="15">
        <v>191701.66681581349</v>
      </c>
      <c r="K13" s="15">
        <v>589289.87971083436</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£/PE of capacity increased</v>
      </c>
      <c r="D18" s="70">
        <v>145.4</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£/PE of capacity increased</v>
      </c>
      <c r="D27" s="106">
        <f>MAX(0,(D12+D13)/L11*D16-D18)</f>
        <v>964.47425318044964</v>
      </c>
      <c r="E27" s="24">
        <f>$D27*$D$21</f>
        <v>0</v>
      </c>
      <c r="F27" s="24">
        <f>$D27*$D$22</f>
        <v>0</v>
      </c>
      <c r="G27" s="24">
        <f>$D27*$D$23</f>
        <v>964.47425318044964</v>
      </c>
      <c r="H27" s="24">
        <f>$D27*$D$24*$D$17</f>
        <v>0</v>
      </c>
      <c r="I27" s="1"/>
      <c r="J27" s="1"/>
    </row>
    <row r="28" spans="1:10" x14ac:dyDescent="0.25">
      <c r="B28" s="1" t="s">
        <v>43</v>
      </c>
      <c r="C28" s="25" t="str">
        <f t="shared" si="0"/>
        <v>£/PE of capacity increased</v>
      </c>
      <c r="D28" s="106">
        <f>D27*D14</f>
        <v>31.152518377728526</v>
      </c>
      <c r="E28" s="24">
        <f t="shared" ref="E28:E29" si="1">$D28*$D$21</f>
        <v>0</v>
      </c>
      <c r="F28" s="24">
        <f t="shared" ref="F28:F29" si="2">$D28*$D$22</f>
        <v>0</v>
      </c>
      <c r="G28" s="24">
        <f t="shared" ref="G28:G29" si="3">$D28*$D$23</f>
        <v>31.152518377728526</v>
      </c>
      <c r="H28" s="24">
        <f>$D28*$D$24*$D$17</f>
        <v>0</v>
      </c>
      <c r="I28" s="1"/>
      <c r="J28" s="1"/>
    </row>
    <row r="29" spans="1:10" x14ac:dyDescent="0.25">
      <c r="B29" s="1" t="s">
        <v>45</v>
      </c>
      <c r="C29" s="25" t="str">
        <f t="shared" si="0"/>
        <v>£/PE of capacity increased</v>
      </c>
      <c r="D29" s="106">
        <f>MAX(0,((D12+D13)/L11)*D16*D15+D13*D16/SUM(E11:K11)-D18)+D28</f>
        <v>31.152518377728526</v>
      </c>
      <c r="E29" s="24">
        <f t="shared" si="1"/>
        <v>0</v>
      </c>
      <c r="F29" s="24">
        <f t="shared" si="2"/>
        <v>0</v>
      </c>
      <c r="G29" s="24">
        <f t="shared" si="3"/>
        <v>31.152518377728526</v>
      </c>
      <c r="H29" s="24">
        <f>$D29*$D$24*$D$17</f>
        <v>0</v>
      </c>
      <c r="I29" s="1"/>
      <c r="J29" s="1"/>
    </row>
    <row r="32" spans="1:10" x14ac:dyDescent="0.25">
      <c r="A32" s="5" t="s">
        <v>92</v>
      </c>
    </row>
    <row r="33" spans="1:12" x14ac:dyDescent="0.25">
      <c r="B33" s="1" t="s">
        <v>93</v>
      </c>
      <c r="E33" s="15"/>
      <c r="F33" s="15"/>
      <c r="G33" s="15">
        <v>0</v>
      </c>
      <c r="H33" s="15">
        <v>0</v>
      </c>
      <c r="I33" s="15">
        <v>6532</v>
      </c>
      <c r="J33" s="15">
        <v>29383</v>
      </c>
      <c r="K33" s="15">
        <v>61736</v>
      </c>
      <c r="L33" s="15">
        <v>61736</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4" ht="18.75" x14ac:dyDescent="0.25">
      <c r="A1" s="2" t="s">
        <v>241</v>
      </c>
    </row>
    <row r="3" spans="1:14" x14ac:dyDescent="0.25">
      <c r="A3" s="5" t="s">
        <v>76</v>
      </c>
    </row>
    <row r="4" spans="1:14" ht="55.7" customHeight="1" x14ac:dyDescent="0.25">
      <c r="B4" s="1" t="s">
        <v>77</v>
      </c>
      <c r="C4" s="110" t="s">
        <v>242</v>
      </c>
      <c r="D4" s="110"/>
      <c r="E4" s="110"/>
      <c r="F4" s="110"/>
      <c r="G4" s="110"/>
      <c r="H4" s="110"/>
      <c r="I4" s="110"/>
      <c r="J4" s="110"/>
      <c r="K4" s="110"/>
      <c r="L4" s="110"/>
    </row>
    <row r="5" spans="1:14" ht="91.35" customHeight="1" x14ac:dyDescent="0.25">
      <c r="B5" s="1" t="s">
        <v>79</v>
      </c>
      <c r="C5" s="110" t="s">
        <v>243</v>
      </c>
      <c r="D5" s="110"/>
      <c r="E5" s="110"/>
      <c r="F5" s="110"/>
      <c r="G5" s="110"/>
      <c r="H5" s="110"/>
      <c r="I5" s="110"/>
      <c r="J5" s="110"/>
      <c r="K5" s="110"/>
      <c r="L5" s="110"/>
      <c r="N5" s="67"/>
    </row>
    <row r="6" spans="1:14" ht="31.35" customHeight="1" x14ac:dyDescent="0.25">
      <c r="B6" s="1" t="s">
        <v>81</v>
      </c>
      <c r="C6" s="110" t="s">
        <v>196</v>
      </c>
      <c r="D6" s="110"/>
      <c r="E6" s="110"/>
      <c r="F6" s="110"/>
      <c r="G6" s="110"/>
      <c r="H6" s="110"/>
      <c r="I6" s="110"/>
      <c r="J6" s="110"/>
      <c r="K6" s="110"/>
      <c r="L6" s="110"/>
      <c r="N6" s="68"/>
    </row>
    <row r="7" spans="1:14" ht="21.6" customHeight="1" x14ac:dyDescent="0.25">
      <c r="B7" s="1" t="s">
        <v>83</v>
      </c>
      <c r="C7" s="110" t="s">
        <v>84</v>
      </c>
      <c r="D7" s="110"/>
      <c r="E7" s="110"/>
      <c r="F7" s="110"/>
      <c r="G7" s="110"/>
      <c r="H7" s="110"/>
      <c r="I7" s="110"/>
      <c r="J7" s="110"/>
      <c r="K7" s="110"/>
      <c r="L7" s="110"/>
      <c r="N7" s="68"/>
    </row>
    <row r="8" spans="1:14" ht="47.45" customHeight="1" x14ac:dyDescent="0.25">
      <c r="B8" s="1" t="s">
        <v>85</v>
      </c>
      <c r="C8" s="110" t="s">
        <v>244</v>
      </c>
      <c r="D8" s="110"/>
      <c r="E8" s="110"/>
      <c r="F8" s="110"/>
      <c r="G8" s="110"/>
      <c r="H8" s="110"/>
      <c r="I8" s="110"/>
      <c r="J8" s="110"/>
      <c r="K8" s="110"/>
      <c r="L8" s="110"/>
    </row>
    <row r="9" spans="1:14" ht="15.75" thickBot="1" x14ac:dyDescent="0.3">
      <c r="G9" s="21"/>
      <c r="H9" s="21"/>
      <c r="I9" s="21"/>
      <c r="J9" s="21"/>
      <c r="K9" s="21"/>
    </row>
    <row r="10" spans="1:14"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4" s="5" customFormat="1" ht="30.75" thickBot="1" x14ac:dyDescent="0.3">
      <c r="B11" s="5" t="s">
        <v>88</v>
      </c>
      <c r="C11" s="91" t="s">
        <v>245</v>
      </c>
      <c r="D11" s="11"/>
      <c r="E11" s="87">
        <v>0</v>
      </c>
      <c r="F11" s="87">
        <v>0</v>
      </c>
      <c r="G11" s="87">
        <v>0</v>
      </c>
      <c r="H11" s="87">
        <v>0</v>
      </c>
      <c r="I11" s="87">
        <v>9980.4</v>
      </c>
      <c r="J11" s="87">
        <v>19960.8</v>
      </c>
      <c r="K11" s="87">
        <v>29941.200000000001</v>
      </c>
      <c r="L11" s="59">
        <f>K11</f>
        <v>29941.200000000001</v>
      </c>
    </row>
    <row r="12" spans="1:14" x14ac:dyDescent="0.25">
      <c r="B12" s="1" t="s">
        <v>10</v>
      </c>
      <c r="C12" s="10" t="s">
        <v>11</v>
      </c>
      <c r="D12" s="65">
        <f>SUM(E12:K12)</f>
        <v>128660497.87500003</v>
      </c>
      <c r="E12" s="63">
        <v>0</v>
      </c>
      <c r="F12" s="63">
        <v>0</v>
      </c>
      <c r="G12" s="63">
        <v>0</v>
      </c>
      <c r="H12" s="63">
        <v>0</v>
      </c>
      <c r="I12" s="63">
        <v>42886832.625000007</v>
      </c>
      <c r="J12" s="63">
        <v>42886832.625000007</v>
      </c>
      <c r="K12" s="63">
        <v>42886832.625000007</v>
      </c>
    </row>
    <row r="13" spans="1:14" x14ac:dyDescent="0.25">
      <c r="B13" s="1" t="s">
        <v>13</v>
      </c>
      <c r="C13" s="10" t="s">
        <v>11</v>
      </c>
      <c r="D13" s="24">
        <f>SUM(E13:K13)</f>
        <v>3594796</v>
      </c>
      <c r="E13" s="15">
        <v>0</v>
      </c>
      <c r="F13" s="15">
        <v>0</v>
      </c>
      <c r="G13" s="15">
        <v>0</v>
      </c>
      <c r="H13" s="15">
        <v>0</v>
      </c>
      <c r="I13" s="15">
        <v>0</v>
      </c>
      <c r="J13" s="15">
        <v>1797398</v>
      </c>
      <c r="K13" s="15">
        <v>1797398</v>
      </c>
    </row>
    <row r="14" spans="1:14" x14ac:dyDescent="0.25">
      <c r="B14" s="1" t="s">
        <v>15</v>
      </c>
      <c r="C14" s="10" t="s">
        <v>16</v>
      </c>
      <c r="D14" s="104">
        <v>3.2300000000000002E-2</v>
      </c>
    </row>
    <row r="15" spans="1:14" ht="30" x14ac:dyDescent="0.25">
      <c r="B15" s="4" t="s">
        <v>18</v>
      </c>
      <c r="C15" s="10" t="s">
        <v>16</v>
      </c>
      <c r="D15" s="104">
        <v>3.5000000000000003E-2</v>
      </c>
    </row>
    <row r="16" spans="1:14" x14ac:dyDescent="0.25">
      <c r="B16" s="1" t="s">
        <v>20</v>
      </c>
      <c r="C16" s="10" t="s">
        <v>16</v>
      </c>
      <c r="D16" s="104">
        <v>0.5</v>
      </c>
    </row>
    <row r="17" spans="1:10" x14ac:dyDescent="0.25">
      <c r="B17" s="1" t="s">
        <v>22</v>
      </c>
      <c r="C17" s="10" t="s">
        <v>16</v>
      </c>
      <c r="D17" s="104">
        <v>0.5</v>
      </c>
    </row>
    <row r="18" spans="1:10" x14ac:dyDescent="0.25">
      <c r="B18" s="1" t="s">
        <v>24</v>
      </c>
      <c r="C18" s="25" t="str">
        <f>"£/"&amp;$C$11</f>
        <v>£/m3 storage equivalent</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1</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£/m3 storage equivalent</v>
      </c>
      <c r="D27" s="106">
        <f>MAX(0,(D12+D13)/L11*D16-D18)</f>
        <v>2208.5837220118101</v>
      </c>
      <c r="E27" s="24">
        <f>$D27*$D$21</f>
        <v>0</v>
      </c>
      <c r="F27" s="24">
        <f>$D27*$D$22</f>
        <v>0</v>
      </c>
      <c r="G27" s="24">
        <f>$D27*$D$23</f>
        <v>2208.5837220118101</v>
      </c>
      <c r="H27" s="24">
        <f>$D27*$D$24*$D$17</f>
        <v>0</v>
      </c>
      <c r="I27" s="1"/>
      <c r="J27" s="1"/>
    </row>
    <row r="28" spans="1:10" x14ac:dyDescent="0.25">
      <c r="B28" s="1" t="s">
        <v>43</v>
      </c>
      <c r="C28" s="25" t="str">
        <f t="shared" si="0"/>
        <v>£/m3 storage equivalent</v>
      </c>
      <c r="D28" s="106">
        <f>D27*D14</f>
        <v>71.337254220981478</v>
      </c>
      <c r="E28" s="24">
        <f t="shared" ref="E28:E29" si="1">$D28*$D$21</f>
        <v>0</v>
      </c>
      <c r="F28" s="24">
        <f t="shared" ref="F28:F29" si="2">$D28*$D$22</f>
        <v>0</v>
      </c>
      <c r="G28" s="24">
        <f t="shared" ref="G28:G29" si="3">$D28*$D$23</f>
        <v>71.337254220981478</v>
      </c>
      <c r="H28" s="24">
        <f>$D28*$D$24*$D$17</f>
        <v>0</v>
      </c>
      <c r="I28" s="1"/>
      <c r="J28" s="1"/>
    </row>
    <row r="29" spans="1:10" x14ac:dyDescent="0.25">
      <c r="B29" s="1" t="s">
        <v>45</v>
      </c>
      <c r="C29" s="25" t="str">
        <f t="shared" si="0"/>
        <v>£/m3 storage equivalent</v>
      </c>
      <c r="D29" s="106">
        <f>MAX(0,((D12+D13)/L11)*D16*D15+D13*D16/SUM(E11:K11)-D18)+D28</f>
        <v>178.65314813346663</v>
      </c>
      <c r="E29" s="24">
        <f t="shared" si="1"/>
        <v>0</v>
      </c>
      <c r="F29" s="24">
        <f t="shared" si="2"/>
        <v>0</v>
      </c>
      <c r="G29" s="24">
        <f t="shared" si="3"/>
        <v>178.65314813346663</v>
      </c>
      <c r="H29" s="24">
        <f>$D29*$D$24*$D$17</f>
        <v>0</v>
      </c>
      <c r="I29" s="1"/>
      <c r="J29" s="1"/>
    </row>
    <row r="32" spans="1:10" x14ac:dyDescent="0.25">
      <c r="A32" s="5" t="s">
        <v>92</v>
      </c>
    </row>
    <row r="33" spans="1:12" x14ac:dyDescent="0.25">
      <c r="B33" s="1" t="s">
        <v>93</v>
      </c>
      <c r="E33" s="15"/>
      <c r="F33" s="15"/>
      <c r="G33" s="15">
        <v>0</v>
      </c>
      <c r="H33" s="15">
        <v>0</v>
      </c>
      <c r="I33" s="15">
        <v>9980.4</v>
      </c>
      <c r="J33" s="15">
        <v>19960.8</v>
      </c>
      <c r="K33" s="15">
        <v>29941.200000000001</v>
      </c>
      <c r="L33" s="15">
        <v>29941.200000000001</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24.5703125" style="14"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246</v>
      </c>
    </row>
    <row r="3" spans="1:13" x14ac:dyDescent="0.25">
      <c r="A3" s="5" t="s">
        <v>76</v>
      </c>
    </row>
    <row r="4" spans="1:13" ht="33.6" customHeight="1" x14ac:dyDescent="0.25">
      <c r="B4" s="1" t="s">
        <v>77</v>
      </c>
      <c r="C4" s="111" t="s">
        <v>247</v>
      </c>
      <c r="D4" s="111"/>
      <c r="E4" s="111"/>
      <c r="F4" s="111"/>
      <c r="G4" s="111"/>
      <c r="H4" s="111"/>
      <c r="I4" s="111"/>
      <c r="J4" s="111"/>
      <c r="K4" s="111"/>
      <c r="L4" s="111"/>
    </row>
    <row r="5" spans="1:13" ht="165.95" customHeight="1" x14ac:dyDescent="0.25">
      <c r="B5" s="1" t="s">
        <v>79</v>
      </c>
      <c r="C5" s="111" t="s">
        <v>248</v>
      </c>
      <c r="D5" s="111"/>
      <c r="E5" s="111"/>
      <c r="F5" s="111"/>
      <c r="G5" s="111"/>
      <c r="H5" s="111"/>
      <c r="I5" s="111"/>
      <c r="J5" s="111"/>
      <c r="K5" s="111"/>
      <c r="L5" s="111"/>
    </row>
    <row r="6" spans="1:13" ht="45.6" customHeight="1" x14ac:dyDescent="0.25">
      <c r="B6" s="1" t="s">
        <v>81</v>
      </c>
      <c r="C6" s="111" t="s">
        <v>249</v>
      </c>
      <c r="D6" s="111"/>
      <c r="E6" s="111"/>
      <c r="F6" s="111"/>
      <c r="G6" s="111"/>
      <c r="H6" s="111"/>
      <c r="I6" s="111"/>
      <c r="J6" s="111"/>
      <c r="K6" s="111"/>
      <c r="L6" s="111"/>
    </row>
    <row r="7" spans="1:13" ht="18.600000000000001" customHeight="1" x14ac:dyDescent="0.25">
      <c r="B7" s="1" t="s">
        <v>83</v>
      </c>
      <c r="C7" s="111" t="s">
        <v>84</v>
      </c>
      <c r="D7" s="111"/>
      <c r="E7" s="111"/>
      <c r="F7" s="111"/>
      <c r="G7" s="111"/>
      <c r="H7" s="111"/>
      <c r="I7" s="111"/>
      <c r="J7" s="111"/>
      <c r="K7" s="111"/>
      <c r="L7" s="111"/>
    </row>
    <row r="8" spans="1:13" ht="18.600000000000001" customHeight="1" x14ac:dyDescent="0.25">
      <c r="B8" s="1" t="s">
        <v>85</v>
      </c>
      <c r="C8" s="110" t="s">
        <v>84</v>
      </c>
      <c r="D8" s="110"/>
      <c r="E8" s="110"/>
      <c r="F8" s="110"/>
      <c r="G8" s="110"/>
      <c r="H8" s="110"/>
      <c r="I8" s="110"/>
      <c r="J8" s="110"/>
      <c r="K8" s="110"/>
      <c r="L8" s="110"/>
    </row>
    <row r="9" spans="1:13" ht="15.75" thickBot="1" x14ac:dyDescent="0.3">
      <c r="G9" s="21"/>
      <c r="H9" s="21"/>
      <c r="I9" s="21"/>
      <c r="J9" s="21"/>
      <c r="K9" s="21"/>
    </row>
    <row r="10" spans="1:13"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91" t="s">
        <v>250</v>
      </c>
      <c r="D11" s="92"/>
      <c r="E11" s="90">
        <v>0</v>
      </c>
      <c r="F11" s="90">
        <v>0</v>
      </c>
      <c r="G11" s="88">
        <v>0</v>
      </c>
      <c r="H11" s="88">
        <v>0</v>
      </c>
      <c r="I11" s="88">
        <f>($L$11/100)*((H12/$D$12)*100)</f>
        <v>19.800000016371374</v>
      </c>
      <c r="J11" s="88">
        <f>($L$11/100)*(((H12+I12)/$D$12)*100)</f>
        <v>39.600000032742749</v>
      </c>
      <c r="K11" s="88">
        <f>($L$11/100)*(((I12+J12+H12)/$D$12)*100)</f>
        <v>60</v>
      </c>
      <c r="L11" s="59">
        <v>60</v>
      </c>
      <c r="M11" s="93"/>
    </row>
    <row r="12" spans="1:13" x14ac:dyDescent="0.25">
      <c r="B12" s="1" t="s">
        <v>10</v>
      </c>
      <c r="C12" s="10" t="s">
        <v>11</v>
      </c>
      <c r="D12" s="24">
        <f>SUM(E12:K12)</f>
        <v>107199308.77499999</v>
      </c>
      <c r="E12" s="15">
        <v>0</v>
      </c>
      <c r="F12" s="15">
        <v>0</v>
      </c>
      <c r="G12" s="15">
        <v>0</v>
      </c>
      <c r="H12" s="15">
        <v>35375771.924999997</v>
      </c>
      <c r="I12" s="15">
        <v>35375771.924999997</v>
      </c>
      <c r="J12" s="15">
        <v>36447764.924999997</v>
      </c>
      <c r="K12" s="15">
        <v>0</v>
      </c>
    </row>
    <row r="13" spans="1:13" x14ac:dyDescent="0.25">
      <c r="B13" s="1" t="s">
        <v>13</v>
      </c>
      <c r="C13" s="10" t="s">
        <v>11</v>
      </c>
      <c r="D13" s="24">
        <f>SUM(E13:K13)</f>
        <v>0</v>
      </c>
      <c r="E13" s="15">
        <v>0</v>
      </c>
      <c r="F13" s="15">
        <v>0</v>
      </c>
      <c r="G13" s="15">
        <v>0</v>
      </c>
      <c r="H13" s="15">
        <v>0</v>
      </c>
      <c r="I13" s="15">
        <v>0</v>
      </c>
      <c r="J13" s="15">
        <v>0</v>
      </c>
      <c r="K13" s="15">
        <v>0</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£/days</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0</v>
      </c>
    </row>
    <row r="24" spans="1:10" x14ac:dyDescent="0.25">
      <c r="B24" s="1" t="s">
        <v>33</v>
      </c>
      <c r="C24" s="10" t="s">
        <v>16</v>
      </c>
      <c r="D24" s="27">
        <f>1-SUM(D21:D23)</f>
        <v>1</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£/days</v>
      </c>
      <c r="D27" s="106">
        <f>MAX(0,(D12+D13)/L11*D16-D18)</f>
        <v>893327.57312499988</v>
      </c>
      <c r="E27" s="24">
        <f>$D27*$D$21</f>
        <v>0</v>
      </c>
      <c r="F27" s="24">
        <f>$D27*$D$22</f>
        <v>0</v>
      </c>
      <c r="G27" s="24">
        <f>$D27*$D$23</f>
        <v>0</v>
      </c>
      <c r="H27" s="24">
        <f>$D27*$D$24*$D$17</f>
        <v>446663.78656249994</v>
      </c>
      <c r="I27" s="1"/>
      <c r="J27" s="1"/>
    </row>
    <row r="28" spans="1:10" x14ac:dyDescent="0.25">
      <c r="B28" s="1" t="s">
        <v>43</v>
      </c>
      <c r="C28" s="25" t="str">
        <f t="shared" si="0"/>
        <v>£/days</v>
      </c>
      <c r="D28" s="106">
        <f>D27*D14</f>
        <v>28854.480611937499</v>
      </c>
      <c r="E28" s="24">
        <f t="shared" ref="E28:E29" si="1">$D28*$D$21</f>
        <v>0</v>
      </c>
      <c r="F28" s="24">
        <f t="shared" ref="F28:F29" si="2">$D28*$D$22</f>
        <v>0</v>
      </c>
      <c r="G28" s="24">
        <f t="shared" ref="G28:G29" si="3">$D28*$D$23</f>
        <v>0</v>
      </c>
      <c r="H28" s="24">
        <f>$D28*$D$24*$D$17</f>
        <v>14427.240305968749</v>
      </c>
      <c r="I28" s="1"/>
      <c r="J28" s="1"/>
    </row>
    <row r="29" spans="1:10" x14ac:dyDescent="0.25">
      <c r="B29" s="1" t="s">
        <v>45</v>
      </c>
      <c r="C29" s="25" t="str">
        <f t="shared" si="0"/>
        <v>£/days</v>
      </c>
      <c r="D29" s="106">
        <f>MAX(0,((D12+D13)/L11)*D16*D15+D13*D16/SUM(E11:K11)-D18)+D28</f>
        <v>60120.945671312496</v>
      </c>
      <c r="E29" s="24">
        <f t="shared" si="1"/>
        <v>0</v>
      </c>
      <c r="F29" s="24">
        <f t="shared" si="2"/>
        <v>0</v>
      </c>
      <c r="G29" s="24">
        <f t="shared" si="3"/>
        <v>0</v>
      </c>
      <c r="H29" s="24">
        <f>$D29*$D$24*$D$17</f>
        <v>30060.472835656248</v>
      </c>
      <c r="I29" s="1"/>
      <c r="J29" s="1"/>
    </row>
    <row r="32" spans="1:10" x14ac:dyDescent="0.25">
      <c r="A32" s="5" t="s">
        <v>92</v>
      </c>
    </row>
    <row r="33" spans="1:12" x14ac:dyDescent="0.25">
      <c r="B33" s="1" t="s">
        <v>93</v>
      </c>
      <c r="E33" s="15">
        <v>0</v>
      </c>
      <c r="F33" s="15">
        <v>0</v>
      </c>
      <c r="G33" s="15">
        <v>0</v>
      </c>
      <c r="H33" s="15">
        <v>0</v>
      </c>
      <c r="I33" s="15">
        <v>19.800000016371374</v>
      </c>
      <c r="J33" s="15">
        <v>39.600000032742749</v>
      </c>
      <c r="K33" s="15">
        <v>60</v>
      </c>
      <c r="L33" s="15">
        <v>60</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1.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251</v>
      </c>
    </row>
    <row r="3" spans="1:13" x14ac:dyDescent="0.25">
      <c r="A3" s="5" t="s">
        <v>76</v>
      </c>
    </row>
    <row r="4" spans="1:13" ht="66" customHeight="1" x14ac:dyDescent="0.25">
      <c r="B4" s="1" t="s">
        <v>77</v>
      </c>
      <c r="C4" s="111" t="s">
        <v>252</v>
      </c>
      <c r="D4" s="123"/>
      <c r="E4" s="123"/>
      <c r="F4" s="123"/>
      <c r="G4" s="123"/>
      <c r="H4" s="123"/>
      <c r="I4" s="123"/>
      <c r="J4" s="123"/>
      <c r="K4" s="123"/>
      <c r="L4" s="123"/>
    </row>
    <row r="5" spans="1:13" ht="171.75" customHeight="1" x14ac:dyDescent="0.25">
      <c r="B5" s="1" t="s">
        <v>79</v>
      </c>
      <c r="C5" s="111" t="s">
        <v>253</v>
      </c>
      <c r="D5" s="123"/>
      <c r="E5" s="123"/>
      <c r="F5" s="123"/>
      <c r="G5" s="123"/>
      <c r="H5" s="123"/>
      <c r="I5" s="123"/>
      <c r="J5" s="123"/>
      <c r="K5" s="123"/>
      <c r="L5" s="123"/>
    </row>
    <row r="6" spans="1:13" ht="57" customHeight="1" x14ac:dyDescent="0.25">
      <c r="B6" s="1" t="s">
        <v>81</v>
      </c>
      <c r="C6" s="111" t="s">
        <v>254</v>
      </c>
      <c r="D6" s="123"/>
      <c r="E6" s="123"/>
      <c r="F6" s="123"/>
      <c r="G6" s="123"/>
      <c r="H6" s="123"/>
      <c r="I6" s="123"/>
      <c r="J6" s="123"/>
      <c r="K6" s="123"/>
      <c r="L6" s="123"/>
    </row>
    <row r="7" spans="1:13" ht="41.25" customHeight="1" x14ac:dyDescent="0.25">
      <c r="B7" s="1" t="s">
        <v>83</v>
      </c>
      <c r="C7" s="110" t="s">
        <v>84</v>
      </c>
      <c r="D7" s="110"/>
      <c r="E7" s="110"/>
      <c r="F7" s="110"/>
      <c r="G7" s="110"/>
      <c r="H7" s="110"/>
      <c r="I7" s="110"/>
      <c r="J7" s="110"/>
      <c r="K7" s="110"/>
      <c r="L7" s="110"/>
    </row>
    <row r="8" spans="1:13" ht="18.600000000000001" customHeight="1" x14ac:dyDescent="0.25">
      <c r="B8" s="1" t="s">
        <v>85</v>
      </c>
      <c r="C8" s="110" t="s">
        <v>84</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16</v>
      </c>
      <c r="D11" s="11"/>
      <c r="E11" s="87"/>
      <c r="F11" s="90"/>
      <c r="G11" s="88">
        <v>0</v>
      </c>
      <c r="H11" s="88">
        <v>33</v>
      </c>
      <c r="I11" s="88">
        <v>66</v>
      </c>
      <c r="J11" s="88">
        <v>100</v>
      </c>
      <c r="K11" s="88">
        <v>100</v>
      </c>
      <c r="L11" s="59">
        <v>100</v>
      </c>
    </row>
    <row r="12" spans="1:13" x14ac:dyDescent="0.25">
      <c r="B12" s="1" t="s">
        <v>10</v>
      </c>
      <c r="C12" s="10" t="s">
        <v>11</v>
      </c>
      <c r="D12" s="24">
        <f>SUM(E12:K12)</f>
        <v>54196143.299999997</v>
      </c>
      <c r="E12" s="15">
        <v>0</v>
      </c>
      <c r="F12" s="15">
        <v>0</v>
      </c>
      <c r="G12" s="15">
        <v>17884727.25</v>
      </c>
      <c r="H12" s="15">
        <v>17884727.25</v>
      </c>
      <c r="I12" s="15">
        <v>18426688.800000001</v>
      </c>
      <c r="J12" s="15">
        <v>0</v>
      </c>
      <c r="K12" s="15">
        <v>0</v>
      </c>
      <c r="L12" s="14">
        <f>SUM(G12:K12)</f>
        <v>54196143.299999997</v>
      </c>
      <c r="M12" s="47"/>
    </row>
    <row r="13" spans="1:13" x14ac:dyDescent="0.25">
      <c r="B13" s="1" t="s">
        <v>13</v>
      </c>
      <c r="C13" s="10" t="s">
        <v>11</v>
      </c>
      <c r="D13" s="24">
        <f>SUM(E13:K13)</f>
        <v>-63020.634664090394</v>
      </c>
      <c r="E13" s="15">
        <v>0</v>
      </c>
      <c r="F13" s="15">
        <v>0</v>
      </c>
      <c r="G13" s="15">
        <v>0</v>
      </c>
      <c r="H13" s="15">
        <v>-6955.4546619230205</v>
      </c>
      <c r="I13" s="15">
        <v>-13910.909323846041</v>
      </c>
      <c r="J13" s="15">
        <v>-21077.135339160668</v>
      </c>
      <c r="K13" s="15">
        <v>-21077.135339160668</v>
      </c>
      <c r="L13" s="14">
        <f>SUM(G13:K13)</f>
        <v>-63020.634664090394</v>
      </c>
      <c r="M13" s="47"/>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0</v>
      </c>
    </row>
    <row r="23" spans="1:10" x14ac:dyDescent="0.25">
      <c r="B23" s="1" t="s">
        <v>31</v>
      </c>
      <c r="C23" s="10" t="s">
        <v>16</v>
      </c>
      <c r="D23" s="20">
        <v>0</v>
      </c>
    </row>
    <row r="24" spans="1:10" x14ac:dyDescent="0.25">
      <c r="B24" s="1" t="s">
        <v>33</v>
      </c>
      <c r="C24" s="10" t="s">
        <v>16</v>
      </c>
      <c r="D24" s="27">
        <f>1-SUM(D21:D23)</f>
        <v>1</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v>
      </c>
      <c r="D27" s="106">
        <f>MAX(0,(D12+D13)/L11*D16-D18)</f>
        <v>270665.61332667957</v>
      </c>
      <c r="E27" s="24">
        <f>$D27*$D$21</f>
        <v>0</v>
      </c>
      <c r="F27" s="24">
        <f>$D27*$D$22</f>
        <v>0</v>
      </c>
      <c r="G27" s="24">
        <f>$D27*$D$23</f>
        <v>0</v>
      </c>
      <c r="H27" s="24">
        <f>$D27*$D$24*$D$17</f>
        <v>135332.80666333978</v>
      </c>
      <c r="I27" s="1"/>
      <c r="J27" s="1"/>
    </row>
    <row r="28" spans="1:10" x14ac:dyDescent="0.25">
      <c r="B28" s="1" t="s">
        <v>43</v>
      </c>
      <c r="C28" s="25" t="str">
        <f t="shared" si="0"/>
        <v>£/%</v>
      </c>
      <c r="D28" s="106">
        <f>D27*D14</f>
        <v>8742.4993104517507</v>
      </c>
      <c r="E28" s="24">
        <f t="shared" ref="E28:E29" si="1">$D28*$D$21</f>
        <v>0</v>
      </c>
      <c r="F28" s="24">
        <f t="shared" ref="F28:F29" si="2">$D28*$D$22</f>
        <v>0</v>
      </c>
      <c r="G28" s="24">
        <f t="shared" ref="G28:G29" si="3">$D28*$D$23</f>
        <v>0</v>
      </c>
      <c r="H28" s="24">
        <f>$D28*$D$24*$D$17</f>
        <v>4371.2496552258754</v>
      </c>
      <c r="I28" s="1"/>
      <c r="J28" s="1"/>
    </row>
    <row r="29" spans="1:10" x14ac:dyDescent="0.25">
      <c r="B29" s="1" t="s">
        <v>45</v>
      </c>
      <c r="C29" s="25" t="str">
        <f t="shared" si="0"/>
        <v>£/%</v>
      </c>
      <c r="D29" s="106">
        <f>MAX(0,((D12+D13)/L11)*D16*D15+D13*D16/SUM(E11:K11)-D18)+D28</f>
        <v>18110.410100189732</v>
      </c>
      <c r="E29" s="24">
        <f t="shared" si="1"/>
        <v>0</v>
      </c>
      <c r="F29" s="24">
        <f t="shared" si="2"/>
        <v>0</v>
      </c>
      <c r="G29" s="24">
        <f t="shared" si="3"/>
        <v>0</v>
      </c>
      <c r="H29" s="24">
        <f>$D29*$D$24*$D$17</f>
        <v>9055.2050500948662</v>
      </c>
      <c r="I29" s="1"/>
      <c r="J29" s="1"/>
    </row>
    <row r="32" spans="1:10" x14ac:dyDescent="0.25">
      <c r="A32" s="5" t="s">
        <v>92</v>
      </c>
    </row>
    <row r="33" spans="1:12" x14ac:dyDescent="0.25">
      <c r="B33" s="1" t="s">
        <v>93</v>
      </c>
      <c r="E33" s="15"/>
      <c r="F33" s="52"/>
      <c r="G33" s="28">
        <v>0</v>
      </c>
      <c r="H33" s="28">
        <v>33</v>
      </c>
      <c r="I33" s="28">
        <v>66</v>
      </c>
      <c r="J33" s="28">
        <v>100</v>
      </c>
      <c r="K33" s="28">
        <v>100</v>
      </c>
      <c r="L33" s="15">
        <v>100</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4"/>
  <sheetViews>
    <sheetView zoomScale="112" zoomScaleNormal="112" workbookViewId="0">
      <pane xSplit="2" ySplit="1" topLeftCell="C2" activePane="bottomRight" state="frozen"/>
      <selection pane="topRight" activeCell="C1" sqref="C1"/>
      <selection pane="bottomLeft" activeCell="A2" sqref="A2"/>
      <selection pane="bottomRight" activeCell="C2" sqref="C2"/>
    </sheetView>
  </sheetViews>
  <sheetFormatPr defaultColWidth="8.85546875" defaultRowHeight="15" x14ac:dyDescent="0.25"/>
  <cols>
    <col min="1" max="1" width="2.7109375" style="5" customWidth="1"/>
    <col min="2" max="2" width="30.28515625" style="1" customWidth="1"/>
    <col min="3" max="3" width="12.7109375" style="10" customWidth="1"/>
    <col min="4" max="4" width="12.5703125" style="10" bestFit="1" customWidth="1"/>
    <col min="5" max="6" width="11.85546875" style="14" customWidth="1"/>
    <col min="7" max="11" width="13.42578125" style="14" customWidth="1"/>
    <col min="12" max="12" width="10.5703125" style="14" bestFit="1" customWidth="1"/>
    <col min="13" max="13" width="1.7109375" style="1" customWidth="1"/>
    <col min="14" max="14" width="13.7109375" style="1" bestFit="1" customWidth="1"/>
    <col min="15" max="15" width="11.7109375" style="1" bestFit="1" customWidth="1"/>
    <col min="16" max="16384" width="8.85546875" style="1"/>
  </cols>
  <sheetData>
    <row r="1" spans="1:13" ht="18.75" x14ac:dyDescent="0.25">
      <c r="A1" s="2" t="s">
        <v>255</v>
      </c>
    </row>
    <row r="3" spans="1:13" x14ac:dyDescent="0.25">
      <c r="A3" s="5" t="s">
        <v>76</v>
      </c>
    </row>
    <row r="4" spans="1:13" ht="114.75" customHeight="1" x14ac:dyDescent="0.25">
      <c r="B4" s="1" t="s">
        <v>77</v>
      </c>
      <c r="C4" s="111" t="s">
        <v>256</v>
      </c>
      <c r="D4" s="111"/>
      <c r="E4" s="111"/>
      <c r="F4" s="111"/>
      <c r="G4" s="111"/>
      <c r="H4" s="111"/>
      <c r="I4" s="111"/>
      <c r="J4" s="111"/>
      <c r="K4" s="111"/>
      <c r="L4" s="111"/>
    </row>
    <row r="5" spans="1:13" ht="121.5" customHeight="1" x14ac:dyDescent="0.25">
      <c r="B5" s="1" t="s">
        <v>79</v>
      </c>
      <c r="C5" s="111" t="s">
        <v>257</v>
      </c>
      <c r="D5" s="111"/>
      <c r="E5" s="111"/>
      <c r="F5" s="111"/>
      <c r="G5" s="111"/>
      <c r="H5" s="111"/>
      <c r="I5" s="111"/>
      <c r="J5" s="111"/>
      <c r="K5" s="111"/>
      <c r="L5" s="111"/>
    </row>
    <row r="6" spans="1:13" ht="168.75" customHeight="1" x14ac:dyDescent="0.25">
      <c r="B6" s="1" t="s">
        <v>81</v>
      </c>
      <c r="C6" s="111" t="s">
        <v>258</v>
      </c>
      <c r="D6" s="111"/>
      <c r="E6" s="111"/>
      <c r="F6" s="111"/>
      <c r="G6" s="111"/>
      <c r="H6" s="111"/>
      <c r="I6" s="111"/>
      <c r="J6" s="111"/>
      <c r="K6" s="111"/>
      <c r="L6" s="111"/>
    </row>
    <row r="7" spans="1:13" ht="48.6" customHeight="1" x14ac:dyDescent="0.25">
      <c r="B7" s="1" t="s">
        <v>83</v>
      </c>
      <c r="C7" s="111" t="s">
        <v>259</v>
      </c>
      <c r="D7" s="111"/>
      <c r="E7" s="111"/>
      <c r="F7" s="111"/>
      <c r="G7" s="111"/>
      <c r="H7" s="111"/>
      <c r="I7" s="111"/>
      <c r="J7" s="111"/>
      <c r="K7" s="111"/>
      <c r="L7" s="111"/>
    </row>
    <row r="8" spans="1:13" ht="65.45" customHeight="1" x14ac:dyDescent="0.25">
      <c r="B8" s="1" t="s">
        <v>85</v>
      </c>
      <c r="C8" s="111" t="s">
        <v>260</v>
      </c>
      <c r="D8" s="111"/>
      <c r="E8" s="111"/>
      <c r="F8" s="111"/>
      <c r="G8" s="111"/>
      <c r="H8" s="111"/>
      <c r="I8" s="111"/>
      <c r="J8" s="111"/>
      <c r="K8" s="111"/>
      <c r="L8" s="111"/>
    </row>
    <row r="9" spans="1:13" x14ac:dyDescent="0.25">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71" t="s">
        <v>4</v>
      </c>
      <c r="M10" s="5"/>
    </row>
    <row r="11" spans="1:13" s="5" customFormat="1" x14ac:dyDescent="0.25">
      <c r="B11" s="5" t="s">
        <v>88</v>
      </c>
      <c r="C11" s="84" t="s">
        <v>261</v>
      </c>
      <c r="D11" s="11"/>
      <c r="E11" s="87">
        <v>0</v>
      </c>
      <c r="F11" s="87">
        <v>0</v>
      </c>
      <c r="G11" s="88">
        <v>9135.256754539394</v>
      </c>
      <c r="H11" s="88">
        <v>20156.20859146303</v>
      </c>
      <c r="I11" s="88">
        <v>34540.821155600643</v>
      </c>
      <c r="J11" s="88">
        <v>52471.630954851818</v>
      </c>
      <c r="K11" s="88">
        <v>85805.641236534211</v>
      </c>
      <c r="L11" s="89">
        <f>K11</f>
        <v>85805.641236534211</v>
      </c>
    </row>
    <row r="12" spans="1:13" x14ac:dyDescent="0.25">
      <c r="B12" s="1" t="s">
        <v>10</v>
      </c>
      <c r="C12" s="10" t="s">
        <v>11</v>
      </c>
      <c r="D12" s="24">
        <f>SUM(E12:K12)</f>
        <v>73489375.376318425</v>
      </c>
      <c r="E12" s="15">
        <v>0</v>
      </c>
      <c r="F12" s="15">
        <v>0</v>
      </c>
      <c r="G12" s="15">
        <v>19287273.34390638</v>
      </c>
      <c r="H12" s="15">
        <v>13778825.343906384</v>
      </c>
      <c r="I12" s="15">
        <v>20660898.688505657</v>
      </c>
      <c r="J12" s="15">
        <v>17656807</v>
      </c>
      <c r="K12" s="15">
        <v>2105571</v>
      </c>
    </row>
    <row r="13" spans="1:13" x14ac:dyDescent="0.25">
      <c r="B13" s="1" t="s">
        <v>13</v>
      </c>
      <c r="C13" s="10" t="s">
        <v>11</v>
      </c>
      <c r="D13" s="24">
        <f>SUM(E13:K13)</f>
        <v>-6076028.0988261886</v>
      </c>
      <c r="E13" s="15">
        <v>0</v>
      </c>
      <c r="F13" s="15">
        <v>0</v>
      </c>
      <c r="G13" s="15">
        <v>2257789.5198498629</v>
      </c>
      <c r="H13" s="15">
        <v>306343.98654464813</v>
      </c>
      <c r="I13" s="15">
        <v>-2019921.7652364152</v>
      </c>
      <c r="J13" s="15">
        <v>-2834960.8250898486</v>
      </c>
      <c r="K13" s="15">
        <v>-3785279.0148944356</v>
      </c>
    </row>
    <row r="14" spans="1:13" x14ac:dyDescent="0.25">
      <c r="B14" s="1" t="s">
        <v>15</v>
      </c>
      <c r="C14" s="10" t="s">
        <v>16</v>
      </c>
      <c r="D14" s="104">
        <v>3.5000000000000003E-2</v>
      </c>
    </row>
    <row r="15" spans="1:13" ht="30" x14ac:dyDescent="0.25">
      <c r="B15" s="4" t="s">
        <v>18</v>
      </c>
      <c r="C15" s="10" t="s">
        <v>16</v>
      </c>
      <c r="D15" s="104">
        <v>0.25283</v>
      </c>
    </row>
    <row r="16" spans="1:13" x14ac:dyDescent="0.25">
      <c r="B16" s="1" t="s">
        <v>20</v>
      </c>
      <c r="C16" s="10" t="s">
        <v>16</v>
      </c>
      <c r="D16" s="104">
        <v>0.68695624999999993</v>
      </c>
    </row>
    <row r="17" spans="1:10" x14ac:dyDescent="0.25">
      <c r="B17" s="1" t="s">
        <v>22</v>
      </c>
      <c r="C17" s="10" t="s">
        <v>16</v>
      </c>
      <c r="D17" s="104">
        <v>0.5</v>
      </c>
    </row>
    <row r="18" spans="1:10" x14ac:dyDescent="0.25">
      <c r="B18" s="1" t="s">
        <v>24</v>
      </c>
      <c r="C18" s="25" t="str">
        <f>"£/"&amp;$C$11</f>
        <v>£/tCO2e</v>
      </c>
      <c r="D18" s="23">
        <v>107.44143388926373</v>
      </c>
    </row>
    <row r="20" spans="1:10" x14ac:dyDescent="0.25">
      <c r="A20" s="5" t="s">
        <v>26</v>
      </c>
      <c r="B20" s="98" t="s">
        <v>90</v>
      </c>
      <c r="C20" s="99" t="s">
        <v>87</v>
      </c>
      <c r="D20" s="101" t="s">
        <v>91</v>
      </c>
    </row>
    <row r="21" spans="1:10" x14ac:dyDescent="0.25">
      <c r="B21" s="1" t="s">
        <v>27</v>
      </c>
      <c r="C21" s="10" t="s">
        <v>16</v>
      </c>
      <c r="D21" s="20">
        <v>8.9999999999999976E-3</v>
      </c>
    </row>
    <row r="22" spans="1:10" x14ac:dyDescent="0.25">
      <c r="B22" s="1" t="s">
        <v>29</v>
      </c>
      <c r="C22" s="10" t="s">
        <v>16</v>
      </c>
      <c r="D22" s="20">
        <v>0.370425</v>
      </c>
    </row>
    <row r="23" spans="1:10" x14ac:dyDescent="0.25">
      <c r="B23" s="1" t="s">
        <v>31</v>
      </c>
      <c r="C23" s="10" t="s">
        <v>16</v>
      </c>
      <c r="D23" s="20">
        <v>0.24666250000000001</v>
      </c>
    </row>
    <row r="24" spans="1:10" x14ac:dyDescent="0.25">
      <c r="B24" s="1" t="s">
        <v>33</v>
      </c>
      <c r="C24" s="10" t="s">
        <v>16</v>
      </c>
      <c r="D24" s="27">
        <v>0.37391249999999998</v>
      </c>
    </row>
    <row r="26" spans="1:10" x14ac:dyDescent="0.25">
      <c r="A26" s="5" t="s">
        <v>35</v>
      </c>
      <c r="C26" s="99" t="s">
        <v>87</v>
      </c>
      <c r="D26" s="107" t="s">
        <v>95</v>
      </c>
      <c r="E26" s="22" t="s">
        <v>37</v>
      </c>
      <c r="F26" s="22" t="s">
        <v>38</v>
      </c>
      <c r="G26" s="22" t="s">
        <v>39</v>
      </c>
      <c r="H26" s="22" t="s">
        <v>40</v>
      </c>
      <c r="I26" s="1"/>
      <c r="J26" s="1"/>
    </row>
    <row r="27" spans="1:10" x14ac:dyDescent="0.25">
      <c r="B27" s="1" t="s">
        <v>41</v>
      </c>
      <c r="C27" s="25" t="str">
        <f t="shared" ref="C27:C29" si="0">"£/"&amp;$C$11</f>
        <v>£/tCO2e</v>
      </c>
      <c r="D27" s="108">
        <f>MAX(0,(D12+D13)/L11*D16-D18)</f>
        <v>432.26690670846324</v>
      </c>
      <c r="E27" s="24">
        <f>$D27*$D$21</f>
        <v>3.8904021603761683</v>
      </c>
      <c r="F27" s="24">
        <f>$D27*$D$22</f>
        <v>160.12246891748251</v>
      </c>
      <c r="G27" s="24">
        <f>$D27*$D$23</f>
        <v>106.62403587597632</v>
      </c>
      <c r="H27" s="24">
        <f>$D27*$D$24*$D$17</f>
        <v>80.814999877314122</v>
      </c>
      <c r="I27" s="1"/>
      <c r="J27" s="1"/>
    </row>
    <row r="28" spans="1:10" x14ac:dyDescent="0.25">
      <c r="B28" s="1" t="s">
        <v>43</v>
      </c>
      <c r="C28" s="25" t="str">
        <f t="shared" si="0"/>
        <v>£/tCO2e</v>
      </c>
      <c r="D28" s="108">
        <f>D27*D14</f>
        <v>15.129341734796215</v>
      </c>
      <c r="E28" s="24">
        <f t="shared" ref="E28:E29" si="1">$D28*$D$21</f>
        <v>0.1361640756131659</v>
      </c>
      <c r="F28" s="24">
        <f t="shared" ref="F28:F29" si="2">$D28*$D$22</f>
        <v>5.6042864121118878</v>
      </c>
      <c r="G28" s="24">
        <f t="shared" ref="G28:G29" si="3">$D28*$D$23</f>
        <v>3.7318412556591714</v>
      </c>
      <c r="H28" s="24">
        <f>$D28*$D$24*$D$17</f>
        <v>2.8285249957059948</v>
      </c>
      <c r="I28" s="1"/>
      <c r="J28" s="1"/>
    </row>
    <row r="29" spans="1:10" x14ac:dyDescent="0.25">
      <c r="B29" s="1" t="s">
        <v>45</v>
      </c>
      <c r="C29" s="25" t="str">
        <f t="shared" si="0"/>
        <v>£/tCO2e</v>
      </c>
      <c r="D29" s="108">
        <f>MAX(0,((D12+D13)/L11)*D16*D15+D13*D16/SUM(E11:K11)-D18)+D28</f>
        <v>23.490373182279697</v>
      </c>
      <c r="E29" s="24">
        <f t="shared" si="1"/>
        <v>0.21141335864051722</v>
      </c>
      <c r="F29" s="24">
        <f t="shared" si="2"/>
        <v>8.7014214860459571</v>
      </c>
      <c r="G29" s="24">
        <f t="shared" si="3"/>
        <v>5.7941941750740655</v>
      </c>
      <c r="H29" s="24">
        <f>$D29*$D$24*$D$17</f>
        <v>4.3916720812595784</v>
      </c>
      <c r="I29" s="1"/>
      <c r="J29" s="1"/>
    </row>
    <row r="32" spans="1:10" x14ac:dyDescent="0.25">
      <c r="A32" s="5" t="s">
        <v>92</v>
      </c>
    </row>
    <row r="33" spans="1:12" x14ac:dyDescent="0.25">
      <c r="B33" s="1" t="s">
        <v>48</v>
      </c>
      <c r="E33" s="15">
        <v>0</v>
      </c>
      <c r="F33" s="15">
        <v>0</v>
      </c>
      <c r="G33" s="15">
        <v>9135.256754539394</v>
      </c>
      <c r="H33" s="15">
        <v>20156.20859146303</v>
      </c>
      <c r="I33" s="15">
        <v>34540.821155600643</v>
      </c>
      <c r="J33" s="15">
        <v>52471.630954851818</v>
      </c>
      <c r="K33" s="15">
        <v>85805.641236534211</v>
      </c>
      <c r="L33" s="15">
        <v>85805.641236534211</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7" width="12.5703125" style="14" customWidth="1"/>
    <col min="8" max="11" width="12.5703125" style="14" bestFit="1" customWidth="1"/>
    <col min="12" max="12" width="9.285156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75</v>
      </c>
    </row>
    <row r="3" spans="1:13" x14ac:dyDescent="0.25">
      <c r="A3" s="5" t="s">
        <v>76</v>
      </c>
    </row>
    <row r="4" spans="1:13" ht="67.7" customHeight="1" x14ac:dyDescent="0.25">
      <c r="B4" s="1" t="s">
        <v>77</v>
      </c>
      <c r="C4" s="110" t="s">
        <v>78</v>
      </c>
      <c r="D4" s="110"/>
      <c r="E4" s="110"/>
      <c r="F4" s="110"/>
      <c r="G4" s="110"/>
      <c r="H4" s="110"/>
      <c r="I4" s="110"/>
      <c r="J4" s="110"/>
      <c r="K4" s="110"/>
      <c r="L4" s="110"/>
    </row>
    <row r="5" spans="1:13" ht="128.1" customHeight="1" x14ac:dyDescent="0.25">
      <c r="B5" s="1" t="s">
        <v>79</v>
      </c>
      <c r="C5" s="110" t="s">
        <v>80</v>
      </c>
      <c r="D5" s="110"/>
      <c r="E5" s="110"/>
      <c r="F5" s="110"/>
      <c r="G5" s="110"/>
      <c r="H5" s="110"/>
      <c r="I5" s="110"/>
      <c r="J5" s="110"/>
      <c r="K5" s="110"/>
      <c r="L5" s="110"/>
    </row>
    <row r="6" spans="1:13" ht="39" customHeight="1" x14ac:dyDescent="0.25">
      <c r="B6" s="1" t="s">
        <v>81</v>
      </c>
      <c r="C6" s="110" t="s">
        <v>82</v>
      </c>
      <c r="D6" s="110"/>
      <c r="E6" s="110"/>
      <c r="F6" s="110"/>
      <c r="G6" s="110"/>
      <c r="H6" s="110"/>
      <c r="I6" s="110"/>
      <c r="J6" s="110"/>
      <c r="K6" s="110"/>
      <c r="L6" s="110"/>
    </row>
    <row r="7" spans="1:13" ht="36" customHeight="1" x14ac:dyDescent="0.25">
      <c r="B7" s="1" t="s">
        <v>83</v>
      </c>
      <c r="C7" s="110" t="s">
        <v>84</v>
      </c>
      <c r="D7" s="110"/>
      <c r="E7" s="110"/>
      <c r="F7" s="110"/>
      <c r="G7" s="110"/>
      <c r="H7" s="110"/>
      <c r="I7" s="110"/>
      <c r="J7" s="110"/>
      <c r="K7" s="110"/>
      <c r="L7" s="110"/>
    </row>
    <row r="8" spans="1:13" x14ac:dyDescent="0.25">
      <c r="B8" s="1" t="s">
        <v>85</v>
      </c>
      <c r="C8" s="110" t="s">
        <v>84</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89</v>
      </c>
      <c r="D11" s="11"/>
      <c r="E11" s="85">
        <v>0</v>
      </c>
      <c r="F11" s="85">
        <v>0</v>
      </c>
      <c r="G11" s="86">
        <v>0</v>
      </c>
      <c r="H11" s="86">
        <v>2.44</v>
      </c>
      <c r="I11" s="86">
        <v>5.7</v>
      </c>
      <c r="J11" s="86">
        <v>8.9499999999999993</v>
      </c>
      <c r="K11" s="86">
        <v>15.46</v>
      </c>
      <c r="L11" s="61">
        <f>K11</f>
        <v>15.46</v>
      </c>
    </row>
    <row r="12" spans="1:13" x14ac:dyDescent="0.25">
      <c r="B12" s="1" t="s">
        <v>10</v>
      </c>
      <c r="C12" s="10" t="s">
        <v>11</v>
      </c>
      <c r="D12" s="24">
        <f>SUM(E12:K12)</f>
        <v>98901906.671413034</v>
      </c>
      <c r="E12" s="30">
        <v>0</v>
      </c>
      <c r="F12" s="30">
        <v>0</v>
      </c>
      <c r="G12" s="73">
        <v>19780381.334282607</v>
      </c>
      <c r="H12" s="73">
        <v>19780381.334282607</v>
      </c>
      <c r="I12" s="73">
        <v>19780381.334282607</v>
      </c>
      <c r="J12" s="73">
        <v>19780381.334282607</v>
      </c>
      <c r="K12" s="73">
        <v>19780381.334282607</v>
      </c>
      <c r="L12" s="66"/>
    </row>
    <row r="13" spans="1:13" x14ac:dyDescent="0.25">
      <c r="B13" s="1" t="s">
        <v>13</v>
      </c>
      <c r="C13" s="10" t="s">
        <v>11</v>
      </c>
      <c r="D13" s="24">
        <f>SUM(E13:K13)</f>
        <v>0</v>
      </c>
      <c r="E13" s="30">
        <v>0</v>
      </c>
      <c r="F13" s="30">
        <v>0</v>
      </c>
      <c r="G13" s="30">
        <v>0</v>
      </c>
      <c r="H13" s="30">
        <v>0</v>
      </c>
      <c r="I13" s="30">
        <v>0</v>
      </c>
      <c r="J13" s="30">
        <v>0</v>
      </c>
      <c r="K13" s="30">
        <v>0</v>
      </c>
      <c r="L13" s="60"/>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£/risk points</v>
      </c>
      <c r="D18" s="23">
        <v>0</v>
      </c>
    </row>
    <row r="20" spans="1:10" x14ac:dyDescent="0.25">
      <c r="A20" s="5" t="s">
        <v>26</v>
      </c>
      <c r="B20" s="5" t="s">
        <v>90</v>
      </c>
      <c r="C20" s="11" t="s">
        <v>87</v>
      </c>
      <c r="D20" s="100" t="s">
        <v>91</v>
      </c>
    </row>
    <row r="21" spans="1:10" x14ac:dyDescent="0.25">
      <c r="B21" s="1" t="s">
        <v>27</v>
      </c>
      <c r="C21" s="10" t="s">
        <v>16</v>
      </c>
      <c r="D21" s="20">
        <v>1</v>
      </c>
    </row>
    <row r="22" spans="1:10" x14ac:dyDescent="0.25">
      <c r="B22" s="1" t="s">
        <v>29</v>
      </c>
      <c r="C22" s="10" t="s">
        <v>16</v>
      </c>
      <c r="D22" s="20">
        <v>0</v>
      </c>
    </row>
    <row r="23" spans="1:10" x14ac:dyDescent="0.25">
      <c r="B23" s="1" t="s">
        <v>31</v>
      </c>
      <c r="C23" s="10" t="s">
        <v>16</v>
      </c>
      <c r="D23" s="20">
        <v>0</v>
      </c>
    </row>
    <row r="24" spans="1:10" x14ac:dyDescent="0.25">
      <c r="B24" s="1" t="s">
        <v>33</v>
      </c>
      <c r="C24" s="10" t="s">
        <v>16</v>
      </c>
      <c r="D24" s="27">
        <f>1-SUM(D21:D23)</f>
        <v>0</v>
      </c>
    </row>
    <row r="26" spans="1:10" x14ac:dyDescent="0.25">
      <c r="A26" s="5" t="s">
        <v>35</v>
      </c>
      <c r="C26" s="11" t="s">
        <v>87</v>
      </c>
      <c r="D26" s="105" t="s">
        <v>36</v>
      </c>
      <c r="E26" s="22" t="s">
        <v>37</v>
      </c>
      <c r="F26" s="22" t="s">
        <v>38</v>
      </c>
      <c r="G26" s="22" t="s">
        <v>39</v>
      </c>
      <c r="H26" s="22" t="s">
        <v>40</v>
      </c>
      <c r="I26" s="1"/>
      <c r="J26" s="1"/>
    </row>
    <row r="27" spans="1:10" x14ac:dyDescent="0.25">
      <c r="B27" s="1" t="s">
        <v>41</v>
      </c>
      <c r="C27" s="25" t="str">
        <f t="shared" ref="C27:C29" si="0">"£/"&amp;$C$11</f>
        <v>£/risk points</v>
      </c>
      <c r="D27" s="106">
        <f>MAX(0,(D12+D13)/L11*D16-D18)</f>
        <v>3198638.6374971871</v>
      </c>
      <c r="E27" s="24">
        <f>$D27*$D$21</f>
        <v>3198638.6374971871</v>
      </c>
      <c r="F27" s="24">
        <f>$D27*$D$22</f>
        <v>0</v>
      </c>
      <c r="G27" s="24">
        <f>$D27*$D$23</f>
        <v>0</v>
      </c>
      <c r="H27" s="24">
        <f>$D27*$D$24*$D$17</f>
        <v>0</v>
      </c>
      <c r="I27" s="1"/>
      <c r="J27" s="1"/>
    </row>
    <row r="28" spans="1:10" x14ac:dyDescent="0.25">
      <c r="B28" s="1" t="s">
        <v>43</v>
      </c>
      <c r="C28" s="25" t="str">
        <f t="shared" si="0"/>
        <v>£/risk points</v>
      </c>
      <c r="D28" s="106">
        <f>D27*D14</f>
        <v>103316.02799115915</v>
      </c>
      <c r="E28" s="24">
        <f t="shared" ref="E28:E29" si="1">$D28*$D$21</f>
        <v>103316.02799115915</v>
      </c>
      <c r="F28" s="24">
        <f t="shared" ref="F28:F29" si="2">$D28*$D$22</f>
        <v>0</v>
      </c>
      <c r="G28" s="24">
        <f t="shared" ref="G28:G29" si="3">$D28*$D$23</f>
        <v>0</v>
      </c>
      <c r="H28" s="24">
        <f>$D28*$D$24*$D$17</f>
        <v>0</v>
      </c>
      <c r="I28" s="1"/>
      <c r="J28" s="1"/>
    </row>
    <row r="29" spans="1:10" x14ac:dyDescent="0.25">
      <c r="B29" s="1" t="s">
        <v>45</v>
      </c>
      <c r="C29" s="25" t="str">
        <f t="shared" si="0"/>
        <v>£/risk points</v>
      </c>
      <c r="D29" s="106">
        <f>MAX(0,((D12+D13)/L11)*D16*D15+D13*D16/SUM(E11:K11)-D18)+D28</f>
        <v>215268.3803035607</v>
      </c>
      <c r="E29" s="24">
        <f t="shared" si="1"/>
        <v>215268.3803035607</v>
      </c>
      <c r="F29" s="24">
        <f t="shared" si="2"/>
        <v>0</v>
      </c>
      <c r="G29" s="24">
        <f t="shared" si="3"/>
        <v>0</v>
      </c>
      <c r="H29" s="24">
        <f>$D29*$D$24*$D$17</f>
        <v>0</v>
      </c>
      <c r="I29" s="1"/>
      <c r="J29" s="1"/>
    </row>
    <row r="32" spans="1:10" x14ac:dyDescent="0.25">
      <c r="A32" s="5" t="s">
        <v>92</v>
      </c>
    </row>
    <row r="33" spans="1:12" x14ac:dyDescent="0.25">
      <c r="B33" s="1" t="s">
        <v>93</v>
      </c>
      <c r="E33" s="15">
        <v>0</v>
      </c>
      <c r="F33" s="15">
        <v>0</v>
      </c>
      <c r="G33" s="28">
        <v>0</v>
      </c>
      <c r="H33" s="28">
        <v>2.44</v>
      </c>
      <c r="I33" s="28">
        <v>5.7</v>
      </c>
      <c r="J33" s="28">
        <v>8.9499999999999993</v>
      </c>
      <c r="K33" s="28">
        <v>15.46</v>
      </c>
      <c r="L33" s="28">
        <v>15.46</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96</v>
      </c>
    </row>
    <row r="2" spans="1:13" x14ac:dyDescent="0.25">
      <c r="C2" s="62"/>
    </row>
    <row r="3" spans="1:13" x14ac:dyDescent="0.25">
      <c r="A3" s="5" t="s">
        <v>76</v>
      </c>
    </row>
    <row r="4" spans="1:13" ht="86.25" customHeight="1" x14ac:dyDescent="0.25">
      <c r="B4" s="1" t="s">
        <v>77</v>
      </c>
      <c r="C4" s="110" t="s">
        <v>97</v>
      </c>
      <c r="D4" s="110"/>
      <c r="E4" s="110"/>
      <c r="F4" s="110"/>
      <c r="G4" s="110"/>
      <c r="H4" s="110"/>
      <c r="I4" s="110"/>
      <c r="J4" s="110"/>
      <c r="K4" s="110"/>
      <c r="L4" s="110"/>
    </row>
    <row r="5" spans="1:13" ht="63" customHeight="1" x14ac:dyDescent="0.25">
      <c r="B5" s="1" t="s">
        <v>79</v>
      </c>
      <c r="C5" s="110" t="s">
        <v>98</v>
      </c>
      <c r="D5" s="110"/>
      <c r="E5" s="110"/>
      <c r="F5" s="110"/>
      <c r="G5" s="110"/>
      <c r="H5" s="110"/>
      <c r="I5" s="110"/>
      <c r="J5" s="110"/>
      <c r="K5" s="110"/>
      <c r="L5" s="110"/>
    </row>
    <row r="6" spans="1:13" ht="42.75" customHeight="1" x14ac:dyDescent="0.25">
      <c r="B6" s="1" t="s">
        <v>81</v>
      </c>
      <c r="C6" s="111" t="s">
        <v>99</v>
      </c>
      <c r="D6" s="111"/>
      <c r="E6" s="111"/>
      <c r="F6" s="111"/>
      <c r="G6" s="111"/>
      <c r="H6" s="111"/>
      <c r="I6" s="111"/>
      <c r="J6" s="111"/>
      <c r="K6" s="111"/>
      <c r="L6" s="111"/>
    </row>
    <row r="7" spans="1:13" ht="45.75" customHeight="1" x14ac:dyDescent="0.25">
      <c r="B7" s="1" t="s">
        <v>83</v>
      </c>
      <c r="C7" s="111" t="s">
        <v>100</v>
      </c>
      <c r="D7" s="111"/>
      <c r="E7" s="111"/>
      <c r="F7" s="111"/>
      <c r="G7" s="111"/>
      <c r="H7" s="111"/>
      <c r="I7" s="111"/>
      <c r="J7" s="111"/>
      <c r="K7" s="111"/>
      <c r="L7" s="111"/>
    </row>
    <row r="8" spans="1:13" ht="55.7" customHeight="1" x14ac:dyDescent="0.25">
      <c r="B8" s="1" t="s">
        <v>85</v>
      </c>
      <c r="C8" s="111" t="s">
        <v>101</v>
      </c>
      <c r="D8" s="110"/>
      <c r="E8" s="110"/>
      <c r="F8" s="110"/>
      <c r="G8" s="110"/>
      <c r="H8" s="110"/>
      <c r="I8" s="110"/>
      <c r="J8" s="110"/>
      <c r="K8" s="110"/>
      <c r="L8" s="110"/>
    </row>
    <row r="9" spans="1:13" ht="15.75" thickBot="1" x14ac:dyDescent="0.3">
      <c r="G9" s="21"/>
      <c r="H9" s="21"/>
      <c r="I9" s="21"/>
      <c r="J9" s="21"/>
      <c r="K9" s="21"/>
    </row>
    <row r="10" spans="1:13" ht="30" x14ac:dyDescent="0.25">
      <c r="A10" s="5" t="s">
        <v>1</v>
      </c>
      <c r="C10" s="11" t="s">
        <v>2</v>
      </c>
      <c r="D10" s="11" t="s">
        <v>3</v>
      </c>
      <c r="E10" s="18">
        <v>2024</v>
      </c>
      <c r="F10" s="18">
        <v>2025</v>
      </c>
      <c r="G10" s="18">
        <v>2026</v>
      </c>
      <c r="H10" s="18">
        <f>G10+1</f>
        <v>2027</v>
      </c>
      <c r="I10" s="18">
        <f>H10+1</f>
        <v>2028</v>
      </c>
      <c r="J10" s="18">
        <f>I10+1</f>
        <v>2029</v>
      </c>
      <c r="K10" s="18">
        <f>J10+1</f>
        <v>2030</v>
      </c>
      <c r="L10" s="33" t="s">
        <v>4</v>
      </c>
      <c r="M10" s="5"/>
    </row>
    <row r="11" spans="1:13" ht="15.75" thickBot="1" x14ac:dyDescent="0.3">
      <c r="B11" s="1" t="s">
        <v>7</v>
      </c>
      <c r="C11" s="26" t="s">
        <v>102</v>
      </c>
      <c r="E11" s="63">
        <v>0</v>
      </c>
      <c r="F11" s="63">
        <v>0</v>
      </c>
      <c r="G11" s="63">
        <v>184184</v>
      </c>
      <c r="H11" s="63">
        <v>368363</v>
      </c>
      <c r="I11" s="63">
        <v>552539</v>
      </c>
      <c r="J11" s="63">
        <v>736715</v>
      </c>
      <c r="K11" s="63">
        <v>920891</v>
      </c>
      <c r="L11" s="59">
        <f>K11</f>
        <v>920891</v>
      </c>
      <c r="M11" s="47"/>
    </row>
    <row r="12" spans="1:13" x14ac:dyDescent="0.25">
      <c r="B12" s="1" t="s">
        <v>10</v>
      </c>
      <c r="C12" s="10" t="s">
        <v>11</v>
      </c>
      <c r="D12" s="24">
        <f>SUM(E12:K12)</f>
        <v>187774730.99999994</v>
      </c>
      <c r="E12" s="63">
        <v>0</v>
      </c>
      <c r="F12" s="63">
        <v>0</v>
      </c>
      <c r="G12" s="63">
        <v>37749625</v>
      </c>
      <c r="H12" s="63">
        <v>37750082.999999993</v>
      </c>
      <c r="I12" s="63">
        <v>37754221.999999985</v>
      </c>
      <c r="J12" s="63">
        <v>37758358.999999985</v>
      </c>
      <c r="K12" s="63">
        <v>36762441.999999985</v>
      </c>
    </row>
    <row r="13" spans="1:13" x14ac:dyDescent="0.25">
      <c r="B13" s="1" t="s">
        <v>13</v>
      </c>
      <c r="C13" s="10" t="s">
        <v>11</v>
      </c>
      <c r="D13" s="24">
        <f>SUM(E13:K13)</f>
        <v>11912715.97453139</v>
      </c>
      <c r="E13" s="63">
        <v>0</v>
      </c>
      <c r="F13" s="63">
        <v>0</v>
      </c>
      <c r="G13" s="63">
        <v>792845.46815774636</v>
      </c>
      <c r="H13" s="63">
        <v>1586706.2786197939</v>
      </c>
      <c r="I13" s="63">
        <v>2381565.9947079127</v>
      </c>
      <c r="J13" s="63">
        <v>3177404.5432707318</v>
      </c>
      <c r="K13" s="63">
        <v>3974193.6897752066</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c r="H17" s="48"/>
      <c r="J17" s="49"/>
    </row>
    <row r="18" spans="1:10" x14ac:dyDescent="0.25">
      <c r="B18" s="1" t="s">
        <v>24</v>
      </c>
      <c r="C18" s="25" t="str">
        <f>"£/"&amp;$C$11</f>
        <v>£/meters</v>
      </c>
      <c r="D18" s="23">
        <v>10.87</v>
      </c>
    </row>
    <row r="20" spans="1:10" x14ac:dyDescent="0.25">
      <c r="A20" s="5" t="s">
        <v>26</v>
      </c>
      <c r="J20" s="21"/>
    </row>
    <row r="21" spans="1:10" x14ac:dyDescent="0.25">
      <c r="B21" s="1" t="s">
        <v>27</v>
      </c>
      <c r="C21" s="10" t="s">
        <v>16</v>
      </c>
      <c r="D21" s="20">
        <v>0</v>
      </c>
    </row>
    <row r="22" spans="1:10" x14ac:dyDescent="0.25">
      <c r="B22" s="1" t="s">
        <v>29</v>
      </c>
      <c r="C22" s="10" t="s">
        <v>16</v>
      </c>
      <c r="D22" s="20">
        <v>1</v>
      </c>
    </row>
    <row r="23" spans="1:10" x14ac:dyDescent="0.25">
      <c r="B23" s="1" t="s">
        <v>31</v>
      </c>
      <c r="C23" s="10" t="s">
        <v>16</v>
      </c>
      <c r="D23" s="20">
        <v>0</v>
      </c>
    </row>
    <row r="24" spans="1:10" x14ac:dyDescent="0.25">
      <c r="B24" s="1" t="s">
        <v>33</v>
      </c>
      <c r="C24" s="10" t="s">
        <v>16</v>
      </c>
      <c r="D24" s="27">
        <f>1-SUM(D21:D23)</f>
        <v>0</v>
      </c>
    </row>
    <row r="26" spans="1:10" x14ac:dyDescent="0.25">
      <c r="A26" s="5" t="s">
        <v>35</v>
      </c>
      <c r="D26" s="105" t="s">
        <v>36</v>
      </c>
      <c r="E26" s="22" t="s">
        <v>37</v>
      </c>
      <c r="F26" s="22" t="s">
        <v>38</v>
      </c>
      <c r="G26" s="22" t="s">
        <v>39</v>
      </c>
      <c r="H26" s="22" t="s">
        <v>40</v>
      </c>
      <c r="I26" s="1"/>
      <c r="J26" s="1"/>
    </row>
    <row r="27" spans="1:10" x14ac:dyDescent="0.25">
      <c r="B27" s="1" t="s">
        <v>41</v>
      </c>
      <c r="C27" s="25" t="str">
        <f t="shared" ref="C27:C29" si="0">"£/"&amp;$C$11</f>
        <v>£/meters</v>
      </c>
      <c r="D27" s="106">
        <f>MAX(0,(D12+D13)/L11*D16-D18)</f>
        <v>97.550783227619405</v>
      </c>
      <c r="E27" s="24">
        <f>$D27*$D$21</f>
        <v>0</v>
      </c>
      <c r="F27" s="24">
        <f>$D27*$D$22</f>
        <v>97.550783227619405</v>
      </c>
      <c r="G27" s="24">
        <f>$D27*$D$23</f>
        <v>0</v>
      </c>
      <c r="H27" s="24">
        <f>$D27*$D$24*$D$17</f>
        <v>0</v>
      </c>
      <c r="I27" s="1"/>
      <c r="J27" s="1"/>
    </row>
    <row r="28" spans="1:10" x14ac:dyDescent="0.25">
      <c r="B28" s="1" t="s">
        <v>43</v>
      </c>
      <c r="C28" s="25" t="str">
        <f t="shared" si="0"/>
        <v>£/meters</v>
      </c>
      <c r="D28" s="106">
        <f>D27*D14</f>
        <v>3.150890298252107</v>
      </c>
      <c r="E28" s="24">
        <f t="shared" ref="E28:E29" si="1">$D28*$D$21</f>
        <v>0</v>
      </c>
      <c r="F28" s="24">
        <f t="shared" ref="F28:F29" si="2">$D28*$D$22</f>
        <v>3.150890298252107</v>
      </c>
      <c r="G28" s="24">
        <f t="shared" ref="G28:G29" si="3">$D28*$D$23</f>
        <v>0</v>
      </c>
      <c r="H28" s="24">
        <f>$D28*$D$24*$D$17</f>
        <v>0</v>
      </c>
      <c r="I28" s="1"/>
      <c r="J28" s="1"/>
    </row>
    <row r="29" spans="1:10" x14ac:dyDescent="0.25">
      <c r="B29" s="1" t="s">
        <v>45</v>
      </c>
      <c r="C29" s="25" t="str">
        <f t="shared" si="0"/>
        <v>£/meters</v>
      </c>
      <c r="D29" s="106">
        <f>MAX(0,((D12+D13)/L11)*D16*D15+D13*D16/SUM(E11:K11)-D18)+D28</f>
        <v>3.150890298252107</v>
      </c>
      <c r="E29" s="24">
        <f t="shared" si="1"/>
        <v>0</v>
      </c>
      <c r="F29" s="24">
        <f t="shared" si="2"/>
        <v>3.150890298252107</v>
      </c>
      <c r="G29" s="24">
        <f t="shared" si="3"/>
        <v>0</v>
      </c>
      <c r="H29" s="24">
        <f>$D29*$D$24*$D$17</f>
        <v>0</v>
      </c>
      <c r="I29" s="1"/>
      <c r="J29" s="1"/>
    </row>
    <row r="32" spans="1:10" x14ac:dyDescent="0.25">
      <c r="A32" s="5" t="s">
        <v>92</v>
      </c>
    </row>
    <row r="33" spans="1:12" x14ac:dyDescent="0.25">
      <c r="B33" s="1" t="s">
        <v>93</v>
      </c>
      <c r="E33" s="15"/>
      <c r="F33" s="15"/>
      <c r="G33" s="63">
        <v>184184</v>
      </c>
      <c r="H33" s="63">
        <v>368363</v>
      </c>
      <c r="I33" s="63">
        <v>552539</v>
      </c>
      <c r="J33" s="63">
        <v>736715</v>
      </c>
      <c r="K33" s="63">
        <v>920891</v>
      </c>
      <c r="L33" s="63">
        <v>920891</v>
      </c>
    </row>
    <row r="34" spans="1:12" x14ac:dyDescent="0.25">
      <c r="B34" s="1" t="s">
        <v>41</v>
      </c>
      <c r="E34" s="16"/>
      <c r="F34" s="16"/>
      <c r="G34" s="72"/>
      <c r="H34" s="72"/>
      <c r="I34" s="72"/>
      <c r="J34" s="72"/>
      <c r="K34" s="72"/>
      <c r="L34" s="53">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103</v>
      </c>
    </row>
    <row r="3" spans="1:13" x14ac:dyDescent="0.25">
      <c r="A3" s="5" t="s">
        <v>76</v>
      </c>
    </row>
    <row r="4" spans="1:13" ht="34.35" customHeight="1" x14ac:dyDescent="0.25">
      <c r="B4" s="1" t="s">
        <v>77</v>
      </c>
      <c r="C4" s="110" t="s">
        <v>104</v>
      </c>
      <c r="D4" s="110"/>
      <c r="E4" s="110"/>
      <c r="F4" s="110"/>
      <c r="G4" s="110"/>
      <c r="H4" s="110"/>
      <c r="I4" s="110"/>
      <c r="J4" s="110"/>
      <c r="K4" s="110"/>
      <c r="L4" s="110"/>
    </row>
    <row r="5" spans="1:13" ht="77.45" customHeight="1" x14ac:dyDescent="0.25">
      <c r="B5" s="1" t="s">
        <v>79</v>
      </c>
      <c r="C5" s="110" t="s">
        <v>105</v>
      </c>
      <c r="D5" s="110"/>
      <c r="E5" s="110"/>
      <c r="F5" s="110"/>
      <c r="G5" s="110"/>
      <c r="H5" s="110"/>
      <c r="I5" s="110"/>
      <c r="J5" s="110"/>
      <c r="K5" s="110"/>
      <c r="L5" s="110"/>
    </row>
    <row r="6" spans="1:13" ht="107.1" customHeight="1" x14ac:dyDescent="0.25">
      <c r="B6" s="1" t="s">
        <v>81</v>
      </c>
      <c r="C6" s="110" t="s">
        <v>106</v>
      </c>
      <c r="D6" s="110"/>
      <c r="E6" s="110"/>
      <c r="F6" s="110"/>
      <c r="G6" s="110"/>
      <c r="H6" s="110"/>
      <c r="I6" s="110"/>
      <c r="J6" s="110"/>
      <c r="K6" s="110"/>
      <c r="L6" s="110"/>
    </row>
    <row r="7" spans="1:13" ht="23.45" customHeight="1" x14ac:dyDescent="0.25">
      <c r="B7" s="1" t="s">
        <v>83</v>
      </c>
      <c r="C7" s="110" t="s">
        <v>84</v>
      </c>
      <c r="D7" s="110"/>
      <c r="E7" s="110"/>
      <c r="F7" s="110"/>
      <c r="G7" s="110"/>
      <c r="H7" s="110"/>
      <c r="I7" s="110"/>
      <c r="J7" s="110"/>
      <c r="K7" s="110"/>
      <c r="L7" s="110"/>
    </row>
    <row r="8" spans="1:13" ht="27" customHeight="1" x14ac:dyDescent="0.25">
      <c r="B8" s="1" t="s">
        <v>85</v>
      </c>
      <c r="C8" s="110" t="s">
        <v>107</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108</v>
      </c>
      <c r="D11" s="11"/>
      <c r="E11" s="97">
        <v>0</v>
      </c>
      <c r="F11" s="97">
        <v>0</v>
      </c>
      <c r="G11" s="97">
        <v>6000</v>
      </c>
      <c r="H11" s="97">
        <v>12000</v>
      </c>
      <c r="I11" s="97">
        <v>18000</v>
      </c>
      <c r="J11" s="97">
        <v>24000</v>
      </c>
      <c r="K11" s="97">
        <v>30000</v>
      </c>
      <c r="L11" s="59">
        <f>K11</f>
        <v>30000</v>
      </c>
    </row>
    <row r="12" spans="1:13" x14ac:dyDescent="0.25">
      <c r="B12" s="1" t="s">
        <v>10</v>
      </c>
      <c r="C12" s="10" t="s">
        <v>11</v>
      </c>
      <c r="D12" s="24">
        <f>SUM(E12:K12)</f>
        <v>73500000</v>
      </c>
      <c r="E12" s="31">
        <v>0</v>
      </c>
      <c r="F12" s="31">
        <v>0</v>
      </c>
      <c r="G12" s="31">
        <v>14700000</v>
      </c>
      <c r="H12" s="31">
        <v>14700000</v>
      </c>
      <c r="I12" s="31">
        <v>14700000</v>
      </c>
      <c r="J12" s="31">
        <v>14700000</v>
      </c>
      <c r="K12" s="31">
        <v>14700000</v>
      </c>
      <c r="L12" s="57"/>
      <c r="M12" s="47"/>
    </row>
    <row r="13" spans="1:13" x14ac:dyDescent="0.25">
      <c r="B13" s="1" t="s">
        <v>13</v>
      </c>
      <c r="C13" s="10" t="s">
        <v>11</v>
      </c>
      <c r="D13" s="24">
        <f>SUM(E13:K13)</f>
        <v>16500000</v>
      </c>
      <c r="E13" s="31">
        <v>0</v>
      </c>
      <c r="F13" s="31">
        <v>0</v>
      </c>
      <c r="G13" s="31">
        <v>3300000</v>
      </c>
      <c r="H13" s="31">
        <v>3300000</v>
      </c>
      <c r="I13" s="31">
        <v>3300000</v>
      </c>
      <c r="J13" s="31">
        <v>3300000</v>
      </c>
      <c r="K13" s="31">
        <v>3300000</v>
      </c>
      <c r="L13" s="32"/>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£/customers</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1</v>
      </c>
    </row>
    <row r="23" spans="1:10" x14ac:dyDescent="0.25">
      <c r="B23" s="1" t="s">
        <v>31</v>
      </c>
      <c r="C23" s="10" t="s">
        <v>16</v>
      </c>
      <c r="D23" s="20">
        <v>0</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£/customers</v>
      </c>
      <c r="D27" s="106">
        <f>MAX(0,(D12+D13)/L11*D16-D18)</f>
        <v>1500</v>
      </c>
      <c r="E27" s="24">
        <f>$D27*$D$21</f>
        <v>0</v>
      </c>
      <c r="F27" s="24">
        <f>$D27*$D$22</f>
        <v>1500</v>
      </c>
      <c r="G27" s="24">
        <f>$D27*$D$23</f>
        <v>0</v>
      </c>
      <c r="H27" s="24">
        <f>$D27*$D$24*$D$17</f>
        <v>0</v>
      </c>
      <c r="I27" s="1"/>
      <c r="J27" s="1"/>
    </row>
    <row r="28" spans="1:10" x14ac:dyDescent="0.25">
      <c r="B28" s="1" t="s">
        <v>43</v>
      </c>
      <c r="C28" s="25" t="str">
        <f t="shared" si="0"/>
        <v>£/customers</v>
      </c>
      <c r="D28" s="106">
        <f>D27*D14</f>
        <v>48.45</v>
      </c>
      <c r="E28" s="24">
        <f t="shared" ref="E28:E29" si="1">$D28*$D$21</f>
        <v>0</v>
      </c>
      <c r="F28" s="24">
        <f t="shared" ref="F28:F29" si="2">$D28*$D$22</f>
        <v>48.45</v>
      </c>
      <c r="G28" s="24">
        <f t="shared" ref="G28:G29" si="3">$D28*$D$23</f>
        <v>0</v>
      </c>
      <c r="H28" s="24">
        <f>$D28*$D$24*$D$17</f>
        <v>0</v>
      </c>
      <c r="I28" s="1"/>
      <c r="J28" s="1"/>
    </row>
    <row r="29" spans="1:10" x14ac:dyDescent="0.25">
      <c r="B29" s="1" t="s">
        <v>45</v>
      </c>
      <c r="C29" s="25" t="str">
        <f t="shared" si="0"/>
        <v>£/customers</v>
      </c>
      <c r="D29" s="106">
        <f>MAX(0,((D12+D13)/L11)*D16*D15+D13*D16/SUM(E11:K11)-D18)+D28</f>
        <v>192.61666666666667</v>
      </c>
      <c r="E29" s="24">
        <f t="shared" si="1"/>
        <v>0</v>
      </c>
      <c r="F29" s="24">
        <f t="shared" si="2"/>
        <v>192.61666666666667</v>
      </c>
      <c r="G29" s="24">
        <f t="shared" si="3"/>
        <v>0</v>
      </c>
      <c r="H29" s="24">
        <f>$D29*$D$24*$D$17</f>
        <v>0</v>
      </c>
      <c r="I29" s="1"/>
      <c r="J29" s="1"/>
    </row>
    <row r="32" spans="1:10" x14ac:dyDescent="0.25">
      <c r="A32" s="5" t="s">
        <v>92</v>
      </c>
    </row>
    <row r="33" spans="1:12" x14ac:dyDescent="0.25">
      <c r="B33" s="1" t="s">
        <v>93</v>
      </c>
      <c r="E33" s="15">
        <v>0</v>
      </c>
      <c r="F33" s="15">
        <v>0</v>
      </c>
      <c r="G33" s="15">
        <v>6000</v>
      </c>
      <c r="H33" s="15">
        <v>12000</v>
      </c>
      <c r="I33" s="15">
        <v>18000</v>
      </c>
      <c r="J33" s="15">
        <v>24000</v>
      </c>
      <c r="K33" s="15">
        <v>30000</v>
      </c>
      <c r="L33" s="15">
        <v>30000</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109</v>
      </c>
    </row>
    <row r="3" spans="1:13" x14ac:dyDescent="0.25">
      <c r="A3" s="5" t="s">
        <v>76</v>
      </c>
    </row>
    <row r="4" spans="1:13" ht="49.5" customHeight="1" x14ac:dyDescent="0.25">
      <c r="B4" s="1" t="s">
        <v>77</v>
      </c>
      <c r="C4" s="110" t="s">
        <v>110</v>
      </c>
      <c r="D4" s="110"/>
      <c r="E4" s="110"/>
      <c r="F4" s="110"/>
      <c r="G4" s="110"/>
      <c r="H4" s="110"/>
      <c r="I4" s="110"/>
      <c r="J4" s="110"/>
      <c r="K4" s="110"/>
      <c r="L4" s="110"/>
    </row>
    <row r="5" spans="1:13" ht="21" customHeight="1" x14ac:dyDescent="0.25">
      <c r="B5" s="1" t="s">
        <v>79</v>
      </c>
      <c r="C5" s="110" t="s">
        <v>111</v>
      </c>
      <c r="D5" s="110"/>
      <c r="E5" s="110"/>
      <c r="F5" s="110"/>
      <c r="G5" s="110"/>
      <c r="H5" s="110"/>
      <c r="I5" s="110"/>
      <c r="J5" s="110"/>
      <c r="K5" s="110"/>
      <c r="L5" s="110"/>
    </row>
    <row r="6" spans="1:13" ht="66.75" customHeight="1" x14ac:dyDescent="0.25">
      <c r="B6" s="1" t="s">
        <v>81</v>
      </c>
      <c r="C6" s="110" t="s">
        <v>112</v>
      </c>
      <c r="D6" s="110"/>
      <c r="E6" s="110"/>
      <c r="F6" s="110"/>
      <c r="G6" s="110"/>
      <c r="H6" s="110"/>
      <c r="I6" s="110"/>
      <c r="J6" s="110"/>
      <c r="K6" s="110"/>
      <c r="L6" s="110"/>
    </row>
    <row r="7" spans="1:13" ht="34.35" customHeight="1" x14ac:dyDescent="0.25">
      <c r="B7" s="1" t="s">
        <v>83</v>
      </c>
      <c r="C7" s="110" t="s">
        <v>84</v>
      </c>
      <c r="D7" s="110"/>
      <c r="E7" s="110"/>
      <c r="F7" s="110"/>
      <c r="G7" s="110"/>
      <c r="H7" s="110"/>
      <c r="I7" s="110"/>
      <c r="J7" s="110"/>
      <c r="K7" s="110"/>
      <c r="L7" s="110"/>
    </row>
    <row r="8" spans="1:13" ht="68.25" customHeight="1" x14ac:dyDescent="0.25">
      <c r="B8" s="1" t="s">
        <v>85</v>
      </c>
      <c r="C8" s="110" t="s">
        <v>113</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114</v>
      </c>
      <c r="D11" s="11"/>
      <c r="E11" s="87">
        <v>0</v>
      </c>
      <c r="F11" s="87">
        <v>0</v>
      </c>
      <c r="G11" s="87">
        <v>72.952499182421036</v>
      </c>
      <c r="H11" s="87">
        <v>209.23255749316652</v>
      </c>
      <c r="I11" s="87">
        <v>330.59242327576732</v>
      </c>
      <c r="J11" s="87">
        <v>464.9944962468519</v>
      </c>
      <c r="K11" s="87">
        <v>641.18954650322883</v>
      </c>
      <c r="L11" s="59">
        <f>K11</f>
        <v>641.18954650322883</v>
      </c>
    </row>
    <row r="12" spans="1:13" x14ac:dyDescent="0.25">
      <c r="B12" s="1" t="s">
        <v>10</v>
      </c>
      <c r="C12" s="10" t="s">
        <v>11</v>
      </c>
      <c r="D12" s="24">
        <f>SUM(E12:K12)</f>
        <v>144297075</v>
      </c>
      <c r="E12" s="15">
        <v>0</v>
      </c>
      <c r="F12" s="15">
        <v>0</v>
      </c>
      <c r="G12" s="15">
        <v>16139175.000000002</v>
      </c>
      <c r="H12" s="15">
        <v>28233075</v>
      </c>
      <c r="I12" s="15">
        <v>27757275</v>
      </c>
      <c r="J12" s="15">
        <v>30206475</v>
      </c>
      <c r="K12" s="15">
        <v>41961075</v>
      </c>
    </row>
    <row r="13" spans="1:13" x14ac:dyDescent="0.25">
      <c r="B13" s="1" t="s">
        <v>13</v>
      </c>
      <c r="C13" s="10" t="s">
        <v>11</v>
      </c>
      <c r="D13" s="24">
        <f>SUM(E13:K13)</f>
        <v>0</v>
      </c>
      <c r="E13" s="15">
        <v>0</v>
      </c>
      <c r="F13" s="15">
        <v>0</v>
      </c>
      <c r="G13" s="15">
        <v>0</v>
      </c>
      <c r="H13" s="15">
        <v>0</v>
      </c>
      <c r="I13" s="15">
        <v>0</v>
      </c>
      <c r="J13" s="15">
        <v>0</v>
      </c>
      <c r="K13" s="15">
        <v>0</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£/km mains</v>
      </c>
      <c r="D18" s="56">
        <v>24139</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1</v>
      </c>
    </row>
    <row r="23" spans="1:10" x14ac:dyDescent="0.25">
      <c r="B23" s="1" t="s">
        <v>31</v>
      </c>
      <c r="C23" s="10" t="s">
        <v>16</v>
      </c>
      <c r="D23" s="20">
        <v>0</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£/km mains</v>
      </c>
      <c r="D27" s="106">
        <f>MAX(0,(D12+D13)/L11*D16-D18)</f>
        <v>88383.947221249939</v>
      </c>
      <c r="E27" s="24">
        <f>$D27*$D$21</f>
        <v>0</v>
      </c>
      <c r="F27" s="24">
        <f>$D27*$D$22</f>
        <v>88383.947221249939</v>
      </c>
      <c r="G27" s="24">
        <f>$D27*$D$23</f>
        <v>0</v>
      </c>
      <c r="H27" s="24">
        <f>$D27*$D$24*$D$17</f>
        <v>0</v>
      </c>
      <c r="I27" s="1"/>
      <c r="J27" s="1"/>
    </row>
    <row r="28" spans="1:10" x14ac:dyDescent="0.25">
      <c r="B28" s="1" t="s">
        <v>43</v>
      </c>
      <c r="C28" s="25" t="str">
        <f t="shared" si="0"/>
        <v>£/km mains</v>
      </c>
      <c r="D28" s="106">
        <f>D27*D14</f>
        <v>2854.8014952463732</v>
      </c>
      <c r="E28" s="24">
        <f t="shared" ref="E28:E29" si="1">$D28*$D$21</f>
        <v>0</v>
      </c>
      <c r="F28" s="24">
        <f t="shared" ref="F28:F29" si="2">$D28*$D$22</f>
        <v>2854.8014952463732</v>
      </c>
      <c r="G28" s="24">
        <f t="shared" ref="G28:G29" si="3">$D28*$D$23</f>
        <v>0</v>
      </c>
      <c r="H28" s="24">
        <f>$D28*$D$24*$D$17</f>
        <v>0</v>
      </c>
      <c r="I28" s="1"/>
      <c r="J28" s="1"/>
    </row>
    <row r="29" spans="1:10" x14ac:dyDescent="0.25">
      <c r="B29" s="1" t="s">
        <v>45</v>
      </c>
      <c r="C29" s="25" t="str">
        <f t="shared" si="0"/>
        <v>£/km mains</v>
      </c>
      <c r="D29" s="106">
        <f>MAX(0,((D12+D13)/L11)*D16*D15+D13*D16/SUM(E11:K11)-D18)+D28</f>
        <v>2854.8014952463732</v>
      </c>
      <c r="E29" s="24">
        <f t="shared" si="1"/>
        <v>0</v>
      </c>
      <c r="F29" s="24">
        <f t="shared" si="2"/>
        <v>2854.8014952463732</v>
      </c>
      <c r="G29" s="24">
        <f t="shared" si="3"/>
        <v>0</v>
      </c>
      <c r="H29" s="24">
        <f>$D29*$D$24*$D$17</f>
        <v>0</v>
      </c>
      <c r="I29" s="1"/>
      <c r="J29" s="1"/>
    </row>
    <row r="32" spans="1:10" x14ac:dyDescent="0.25">
      <c r="A32" s="5" t="s">
        <v>92</v>
      </c>
    </row>
    <row r="33" spans="1:12" x14ac:dyDescent="0.25">
      <c r="B33" s="1" t="s">
        <v>93</v>
      </c>
      <c r="E33" s="15"/>
      <c r="F33" s="15"/>
      <c r="G33" s="15">
        <v>72.952499182421036</v>
      </c>
      <c r="H33" s="15">
        <v>209.23255749316652</v>
      </c>
      <c r="I33" s="15">
        <v>330.59242327576732</v>
      </c>
      <c r="J33" s="15">
        <v>464.9944962468519</v>
      </c>
      <c r="K33" s="15">
        <v>641.18954650322883</v>
      </c>
      <c r="L33" s="15">
        <v>641.18954650322883</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66"/>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5" width="11.5703125" style="14" customWidth="1"/>
    <col min="6" max="11" width="11.8554687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74" t="s">
        <v>115</v>
      </c>
    </row>
    <row r="3" spans="1:13" x14ac:dyDescent="0.25">
      <c r="A3" s="5" t="s">
        <v>76</v>
      </c>
    </row>
    <row r="4" spans="1:13" ht="42.6" customHeight="1" x14ac:dyDescent="0.25">
      <c r="B4" s="1" t="s">
        <v>77</v>
      </c>
      <c r="C4" s="110" t="s">
        <v>116</v>
      </c>
      <c r="D4" s="110"/>
      <c r="E4" s="110"/>
      <c r="F4" s="110"/>
      <c r="G4" s="110"/>
      <c r="H4" s="110"/>
      <c r="I4" s="110"/>
      <c r="J4" s="110"/>
      <c r="K4" s="110"/>
      <c r="L4" s="110"/>
    </row>
    <row r="5" spans="1:13" ht="237" customHeight="1" x14ac:dyDescent="0.25">
      <c r="B5" s="1" t="s">
        <v>79</v>
      </c>
      <c r="C5" s="110" t="s">
        <v>117</v>
      </c>
      <c r="D5" s="110"/>
      <c r="E5" s="110"/>
      <c r="F5" s="110"/>
      <c r="G5" s="110"/>
      <c r="H5" s="110"/>
      <c r="I5" s="110"/>
      <c r="J5" s="110"/>
      <c r="K5" s="110"/>
      <c r="L5" s="110"/>
    </row>
    <row r="6" spans="1:13" ht="67.7" customHeight="1" x14ac:dyDescent="0.25">
      <c r="B6" s="1" t="s">
        <v>81</v>
      </c>
      <c r="C6" s="110" t="s">
        <v>118</v>
      </c>
      <c r="D6" s="110"/>
      <c r="E6" s="110"/>
      <c r="F6" s="110"/>
      <c r="G6" s="110"/>
      <c r="H6" s="110"/>
      <c r="I6" s="110"/>
      <c r="J6" s="110"/>
      <c r="K6" s="110"/>
      <c r="L6" s="110"/>
    </row>
    <row r="7" spans="1:13" ht="30.6" customHeight="1" x14ac:dyDescent="0.25">
      <c r="B7" s="1" t="s">
        <v>83</v>
      </c>
      <c r="C7" s="111" t="s">
        <v>84</v>
      </c>
      <c r="D7" s="111"/>
      <c r="E7" s="111"/>
      <c r="F7" s="111"/>
      <c r="G7" s="111"/>
      <c r="H7" s="111"/>
      <c r="I7" s="111"/>
      <c r="J7" s="111"/>
      <c r="K7" s="111"/>
      <c r="L7" s="111"/>
    </row>
    <row r="8" spans="1:13" x14ac:dyDescent="0.25">
      <c r="B8" s="1" t="s">
        <v>85</v>
      </c>
      <c r="C8" s="111" t="s">
        <v>84</v>
      </c>
      <c r="D8" s="111"/>
      <c r="E8" s="111"/>
      <c r="F8" s="111"/>
      <c r="G8" s="111"/>
      <c r="H8" s="111"/>
      <c r="I8" s="111"/>
      <c r="J8" s="111"/>
      <c r="K8" s="111"/>
      <c r="L8" s="111"/>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119</v>
      </c>
      <c r="D11" s="11"/>
      <c r="E11" s="95">
        <v>0</v>
      </c>
      <c r="F11" s="95">
        <v>0</v>
      </c>
      <c r="G11" s="95">
        <v>0</v>
      </c>
      <c r="H11" s="95">
        <v>0</v>
      </c>
      <c r="I11" s="95">
        <v>10635</v>
      </c>
      <c r="J11" s="95">
        <v>31905</v>
      </c>
      <c r="K11" s="95">
        <v>53175</v>
      </c>
      <c r="L11" s="59">
        <f>K11</f>
        <v>53175</v>
      </c>
      <c r="M11" s="93"/>
    </row>
    <row r="12" spans="1:13" x14ac:dyDescent="0.25">
      <c r="B12" s="1" t="s">
        <v>10</v>
      </c>
      <c r="C12" s="10" t="s">
        <v>11</v>
      </c>
      <c r="D12" s="24">
        <f>SUM(E12:K12)</f>
        <v>14736226.998042846</v>
      </c>
      <c r="E12" s="63">
        <v>0</v>
      </c>
      <c r="F12" s="63">
        <v>0</v>
      </c>
      <c r="G12" s="63">
        <v>1722705.641993813</v>
      </c>
      <c r="H12" s="63">
        <v>1354340.3465210414</v>
      </c>
      <c r="I12" s="63">
        <v>7411446.8090009913</v>
      </c>
      <c r="J12" s="63">
        <v>3877841.6866646288</v>
      </c>
      <c r="K12" s="63">
        <v>369892.51386236906</v>
      </c>
      <c r="L12" s="53"/>
      <c r="M12" s="47"/>
    </row>
    <row r="13" spans="1:13" x14ac:dyDescent="0.25">
      <c r="B13" s="1" t="s">
        <v>13</v>
      </c>
      <c r="C13" s="10" t="s">
        <v>11</v>
      </c>
      <c r="D13" s="24">
        <f>SUM(E13:K13)</f>
        <v>32695119.493072189</v>
      </c>
      <c r="E13" s="63">
        <v>0</v>
      </c>
      <c r="F13" s="63">
        <v>0</v>
      </c>
      <c r="G13" s="63">
        <v>6143983.4201221289</v>
      </c>
      <c r="H13" s="63">
        <v>3621241.0412110849</v>
      </c>
      <c r="I13" s="63">
        <v>8395673.0544960164</v>
      </c>
      <c r="J13" s="63">
        <v>11614191.631609222</v>
      </c>
      <c r="K13" s="63">
        <v>2920030.3456337382</v>
      </c>
      <c r="L13" s="53"/>
      <c r="M13" s="47"/>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£/hectares</v>
      </c>
      <c r="D18" s="23">
        <v>0</v>
      </c>
    </row>
    <row r="20" spans="1:10" x14ac:dyDescent="0.25">
      <c r="A20" s="5" t="s">
        <v>26</v>
      </c>
      <c r="B20" s="98" t="s">
        <v>90</v>
      </c>
      <c r="C20" s="99" t="s">
        <v>87</v>
      </c>
      <c r="D20" s="101" t="s">
        <v>91</v>
      </c>
    </row>
    <row r="21" spans="1:10" x14ac:dyDescent="0.25">
      <c r="B21" s="1" t="s">
        <v>27</v>
      </c>
      <c r="C21" s="10" t="s">
        <v>16</v>
      </c>
      <c r="D21" s="20">
        <v>1</v>
      </c>
    </row>
    <row r="22" spans="1:10" x14ac:dyDescent="0.25">
      <c r="B22" s="1" t="s">
        <v>29</v>
      </c>
      <c r="C22" s="10" t="s">
        <v>16</v>
      </c>
      <c r="D22" s="20">
        <v>0</v>
      </c>
    </row>
    <row r="23" spans="1:10" x14ac:dyDescent="0.25">
      <c r="B23" s="1" t="s">
        <v>31</v>
      </c>
      <c r="C23" s="10" t="s">
        <v>16</v>
      </c>
      <c r="D23" s="20">
        <v>0</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£/hectares</v>
      </c>
      <c r="D27" s="106">
        <f>MAX(0,(D12+D13)/L11*D16-D18)</f>
        <v>445.99291482007555</v>
      </c>
      <c r="E27" s="24">
        <f>$D27*$D$21</f>
        <v>445.99291482007555</v>
      </c>
      <c r="F27" s="24">
        <f>$D27*$D$22</f>
        <v>0</v>
      </c>
      <c r="G27" s="24">
        <f>$D27*$D$23</f>
        <v>0</v>
      </c>
      <c r="H27" s="24">
        <f>$D27*$D$24*$D$17</f>
        <v>0</v>
      </c>
      <c r="I27" s="1"/>
      <c r="J27" s="1"/>
    </row>
    <row r="28" spans="1:10" x14ac:dyDescent="0.25">
      <c r="B28" s="1" t="s">
        <v>43</v>
      </c>
      <c r="C28" s="25" t="str">
        <f t="shared" si="0"/>
        <v>£/hectares</v>
      </c>
      <c r="D28" s="106">
        <f>D27*D14</f>
        <v>14.405571148688441</v>
      </c>
      <c r="E28" s="24">
        <f t="shared" ref="E28:E29" si="1">$D28*$D$21</f>
        <v>14.405571148688441</v>
      </c>
      <c r="F28" s="24">
        <f t="shared" ref="F28:F29" si="2">$D28*$D$22</f>
        <v>0</v>
      </c>
      <c r="G28" s="24">
        <f t="shared" ref="G28:G29" si="3">$D28*$D$23</f>
        <v>0</v>
      </c>
      <c r="H28" s="24">
        <f>$D28*$D$24*$D$17</f>
        <v>0</v>
      </c>
      <c r="I28" s="1"/>
      <c r="J28" s="1"/>
    </row>
    <row r="29" spans="1:10" x14ac:dyDescent="0.25">
      <c r="B29" s="1" t="s">
        <v>45</v>
      </c>
      <c r="C29" s="25" t="str">
        <f t="shared" si="0"/>
        <v>£/hectares</v>
      </c>
      <c r="D29" s="106">
        <f>MAX(0,((D12+D13)/L11)*D16*D15+D13*D16/SUM(E11:K11)-D18)+D28</f>
        <v>200.80944892130734</v>
      </c>
      <c r="E29" s="24">
        <f t="shared" si="1"/>
        <v>200.80944892130734</v>
      </c>
      <c r="F29" s="24">
        <f t="shared" si="2"/>
        <v>0</v>
      </c>
      <c r="G29" s="24">
        <f t="shared" si="3"/>
        <v>0</v>
      </c>
      <c r="H29" s="24">
        <f>$D29*$D$24*$D$17</f>
        <v>0</v>
      </c>
      <c r="I29" s="1"/>
      <c r="J29" s="1"/>
    </row>
    <row r="32" spans="1:10" x14ac:dyDescent="0.25">
      <c r="A32" s="5" t="s">
        <v>92</v>
      </c>
    </row>
    <row r="33" spans="1:12" x14ac:dyDescent="0.25">
      <c r="B33" s="1" t="s">
        <v>93</v>
      </c>
      <c r="E33" s="15"/>
      <c r="F33" s="15"/>
      <c r="G33" s="15">
        <v>0</v>
      </c>
      <c r="H33" s="15">
        <v>0</v>
      </c>
      <c r="I33" s="15">
        <v>10635</v>
      </c>
      <c r="J33" s="15">
        <v>31905</v>
      </c>
      <c r="K33" s="15">
        <v>53175</v>
      </c>
      <c r="L33" s="15">
        <v>53175</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row r="45" spans="1:12" x14ac:dyDescent="0.25">
      <c r="C45" s="75" t="s">
        <v>120</v>
      </c>
    </row>
    <row r="46" spans="1:12" ht="45" x14ac:dyDescent="0.25">
      <c r="C46" s="76" t="s">
        <v>121</v>
      </c>
      <c r="D46" s="76" t="s">
        <v>122</v>
      </c>
      <c r="E46" s="77" t="s">
        <v>123</v>
      </c>
      <c r="F46" s="77" t="s">
        <v>124</v>
      </c>
      <c r="G46" s="77" t="s">
        <v>125</v>
      </c>
    </row>
    <row r="47" spans="1:12" x14ac:dyDescent="0.25">
      <c r="C47" s="78" t="s">
        <v>126</v>
      </c>
      <c r="D47" s="79">
        <v>102</v>
      </c>
      <c r="E47" s="79">
        <v>46600</v>
      </c>
      <c r="F47" s="79">
        <v>46844</v>
      </c>
      <c r="G47" s="79">
        <v>47573</v>
      </c>
    </row>
    <row r="48" spans="1:12" x14ac:dyDescent="0.25">
      <c r="C48" s="78" t="s">
        <v>127</v>
      </c>
      <c r="D48" s="79">
        <v>2084</v>
      </c>
      <c r="E48" s="79">
        <v>46600</v>
      </c>
      <c r="F48" s="79">
        <v>46966</v>
      </c>
      <c r="G48" s="79">
        <v>47573</v>
      </c>
    </row>
    <row r="49" spans="3:9" x14ac:dyDescent="0.25">
      <c r="C49" s="78" t="s">
        <v>128</v>
      </c>
      <c r="D49" s="79">
        <v>1715</v>
      </c>
      <c r="E49" s="79">
        <v>46600</v>
      </c>
      <c r="F49" s="79">
        <v>46844</v>
      </c>
      <c r="G49" s="79">
        <v>47573</v>
      </c>
    </row>
    <row r="50" spans="3:9" x14ac:dyDescent="0.25">
      <c r="C50" s="78" t="s">
        <v>129</v>
      </c>
      <c r="D50" s="79">
        <v>40</v>
      </c>
      <c r="E50" s="79">
        <v>46600</v>
      </c>
      <c r="F50" s="79">
        <v>46844</v>
      </c>
      <c r="G50" s="79">
        <v>47573</v>
      </c>
    </row>
    <row r="51" spans="3:9" x14ac:dyDescent="0.25">
      <c r="C51" s="78" t="s">
        <v>130</v>
      </c>
      <c r="D51" s="79">
        <v>4390</v>
      </c>
      <c r="E51" s="79">
        <v>46600</v>
      </c>
      <c r="F51" s="79">
        <v>46935</v>
      </c>
      <c r="G51" s="79">
        <v>47573</v>
      </c>
    </row>
    <row r="52" spans="3:9" x14ac:dyDescent="0.25">
      <c r="C52" s="78" t="s">
        <v>131</v>
      </c>
      <c r="D52" s="79">
        <v>1549</v>
      </c>
      <c r="E52" s="79">
        <v>46600</v>
      </c>
      <c r="F52" s="79">
        <v>46935</v>
      </c>
      <c r="G52" s="79">
        <v>47573</v>
      </c>
    </row>
    <row r="53" spans="3:9" x14ac:dyDescent="0.25">
      <c r="C53" s="78" t="s">
        <v>132</v>
      </c>
      <c r="D53" s="79">
        <v>1085</v>
      </c>
      <c r="E53" s="79">
        <v>46600</v>
      </c>
      <c r="F53" s="79">
        <v>46844</v>
      </c>
      <c r="G53" s="79">
        <v>47573</v>
      </c>
    </row>
    <row r="54" spans="3:9" x14ac:dyDescent="0.25">
      <c r="C54" s="78" t="s">
        <v>133</v>
      </c>
      <c r="D54" s="79">
        <v>5814</v>
      </c>
      <c r="E54" s="79">
        <v>46600</v>
      </c>
      <c r="F54" s="79">
        <v>46966</v>
      </c>
      <c r="G54" s="79">
        <v>47573</v>
      </c>
    </row>
    <row r="55" spans="3:9" x14ac:dyDescent="0.25">
      <c r="C55" s="78" t="s">
        <v>134</v>
      </c>
      <c r="D55" s="79">
        <v>2219</v>
      </c>
      <c r="E55" s="79">
        <v>46600</v>
      </c>
      <c r="F55" s="79">
        <v>46935</v>
      </c>
      <c r="G55" s="79">
        <v>47573</v>
      </c>
    </row>
    <row r="56" spans="3:9" x14ac:dyDescent="0.25">
      <c r="C56" s="78" t="s">
        <v>135</v>
      </c>
      <c r="D56" s="79">
        <v>13617</v>
      </c>
      <c r="E56" s="79">
        <v>46631</v>
      </c>
      <c r="F56" s="79">
        <v>46997</v>
      </c>
      <c r="G56" s="79">
        <v>47573</v>
      </c>
    </row>
    <row r="57" spans="3:9" x14ac:dyDescent="0.25">
      <c r="C57" s="78" t="s">
        <v>136</v>
      </c>
      <c r="D57" s="79">
        <v>14884</v>
      </c>
      <c r="E57" s="79">
        <v>46631</v>
      </c>
      <c r="F57" s="79">
        <v>46997</v>
      </c>
      <c r="G57" s="79">
        <v>47573</v>
      </c>
    </row>
    <row r="58" spans="3:9" x14ac:dyDescent="0.25">
      <c r="C58" s="78" t="s">
        <v>137</v>
      </c>
      <c r="D58" s="79">
        <v>5676</v>
      </c>
      <c r="E58" s="79">
        <v>46600</v>
      </c>
      <c r="F58" s="79">
        <v>46966</v>
      </c>
      <c r="G58" s="79">
        <v>47573</v>
      </c>
    </row>
    <row r="59" spans="3:9" x14ac:dyDescent="0.25">
      <c r="D59" s="21"/>
      <c r="E59" s="21"/>
      <c r="F59" s="21"/>
      <c r="G59" s="21"/>
    </row>
    <row r="60" spans="3:9" ht="15.75" thickBot="1" x14ac:dyDescent="0.3">
      <c r="C60" s="10" t="s">
        <v>138</v>
      </c>
    </row>
    <row r="61" spans="3:9" ht="15.75" thickBot="1" x14ac:dyDescent="0.3">
      <c r="C61" s="112" t="s">
        <v>139</v>
      </c>
      <c r="D61" s="114" t="s">
        <v>87</v>
      </c>
      <c r="E61" s="116" t="s">
        <v>140</v>
      </c>
      <c r="F61" s="117"/>
      <c r="G61" s="117"/>
      <c r="H61" s="117"/>
      <c r="I61" s="118"/>
    </row>
    <row r="62" spans="3:9" ht="16.5" thickTop="1" thickBot="1" x14ac:dyDescent="0.3">
      <c r="C62" s="113"/>
      <c r="D62" s="115"/>
      <c r="E62" s="42" t="s">
        <v>141</v>
      </c>
      <c r="F62" s="43" t="s">
        <v>142</v>
      </c>
      <c r="G62" s="43" t="s">
        <v>143</v>
      </c>
      <c r="H62" s="43" t="s">
        <v>144</v>
      </c>
      <c r="I62" s="43" t="s">
        <v>145</v>
      </c>
    </row>
    <row r="63" spans="3:9" ht="30" thickTop="1" thickBot="1" x14ac:dyDescent="0.3">
      <c r="C63" s="44" t="s">
        <v>146</v>
      </c>
      <c r="D63" s="44" t="s">
        <v>119</v>
      </c>
      <c r="E63" s="81">
        <v>0</v>
      </c>
      <c r="F63" s="81">
        <v>0</v>
      </c>
      <c r="G63" s="81">
        <v>10635</v>
      </c>
      <c r="H63" s="81">
        <v>10635</v>
      </c>
      <c r="I63" s="81">
        <v>10635</v>
      </c>
    </row>
    <row r="64" spans="3:9" ht="29.25" thickBot="1" x14ac:dyDescent="0.3">
      <c r="C64" s="38" t="s">
        <v>147</v>
      </c>
      <c r="D64" s="38" t="s">
        <v>119</v>
      </c>
      <c r="E64" s="82">
        <v>0</v>
      </c>
      <c r="F64" s="82">
        <v>0</v>
      </c>
      <c r="G64" s="82">
        <v>0</v>
      </c>
      <c r="H64" s="82">
        <v>21670</v>
      </c>
      <c r="I64" s="82">
        <v>21670</v>
      </c>
    </row>
    <row r="65" spans="3:9" ht="29.25" thickBot="1" x14ac:dyDescent="0.3">
      <c r="C65" s="37" t="s">
        <v>148</v>
      </c>
      <c r="D65" s="37" t="s">
        <v>119</v>
      </c>
      <c r="E65" s="81">
        <v>0</v>
      </c>
      <c r="F65" s="81">
        <v>0</v>
      </c>
      <c r="G65" s="81">
        <v>0</v>
      </c>
      <c r="H65" s="81">
        <v>0</v>
      </c>
      <c r="I65" s="81">
        <v>21670</v>
      </c>
    </row>
    <row r="66" spans="3:9" ht="29.25" thickBot="1" x14ac:dyDescent="0.3">
      <c r="C66" s="80" t="s">
        <v>149</v>
      </c>
      <c r="D66" s="80" t="s">
        <v>119</v>
      </c>
      <c r="E66" s="83">
        <v>0</v>
      </c>
      <c r="F66" s="83">
        <v>0</v>
      </c>
      <c r="G66" s="83">
        <v>10635</v>
      </c>
      <c r="H66" s="83">
        <v>31905</v>
      </c>
      <c r="I66" s="83">
        <v>53175</v>
      </c>
    </row>
  </sheetData>
  <mergeCells count="8">
    <mergeCell ref="C61:C62"/>
    <mergeCell ref="D61:D62"/>
    <mergeCell ref="E61:I61"/>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66"/>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11" width="11.8554687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150</v>
      </c>
    </row>
    <row r="3" spans="1:13" x14ac:dyDescent="0.25">
      <c r="A3" s="5" t="s">
        <v>76</v>
      </c>
    </row>
    <row r="4" spans="1:13" ht="41.45" customHeight="1" x14ac:dyDescent="0.25">
      <c r="B4" s="1" t="s">
        <v>77</v>
      </c>
      <c r="C4" s="110" t="s">
        <v>151</v>
      </c>
      <c r="D4" s="110"/>
      <c r="E4" s="110"/>
      <c r="F4" s="110"/>
      <c r="G4" s="110"/>
      <c r="H4" s="110"/>
      <c r="I4" s="110"/>
      <c r="J4" s="110"/>
      <c r="K4" s="110"/>
      <c r="L4" s="110"/>
    </row>
    <row r="5" spans="1:13" ht="101.45" customHeight="1" x14ac:dyDescent="0.25">
      <c r="B5" s="1" t="s">
        <v>79</v>
      </c>
      <c r="C5" s="110" t="s">
        <v>152</v>
      </c>
      <c r="D5" s="110"/>
      <c r="E5" s="110"/>
      <c r="F5" s="110"/>
      <c r="G5" s="110"/>
      <c r="H5" s="110"/>
      <c r="I5" s="110"/>
      <c r="J5" s="110"/>
      <c r="K5" s="110"/>
      <c r="L5" s="110"/>
    </row>
    <row r="6" spans="1:13" ht="43.7" customHeight="1" x14ac:dyDescent="0.25">
      <c r="B6" s="1" t="s">
        <v>81</v>
      </c>
      <c r="C6" s="110" t="s">
        <v>153</v>
      </c>
      <c r="D6" s="110"/>
      <c r="E6" s="110"/>
      <c r="F6" s="110"/>
      <c r="G6" s="110"/>
      <c r="H6" s="110"/>
      <c r="I6" s="110"/>
      <c r="J6" s="110"/>
      <c r="K6" s="110"/>
      <c r="L6" s="110"/>
    </row>
    <row r="7" spans="1:13" ht="31.7" customHeight="1" x14ac:dyDescent="0.25">
      <c r="B7" s="1" t="s">
        <v>83</v>
      </c>
      <c r="C7" s="111" t="s">
        <v>84</v>
      </c>
      <c r="D7" s="111"/>
      <c r="E7" s="111"/>
      <c r="F7" s="111"/>
      <c r="G7" s="111"/>
      <c r="H7" s="111"/>
      <c r="I7" s="111"/>
      <c r="J7" s="111"/>
      <c r="K7" s="111"/>
      <c r="L7" s="111"/>
      <c r="M7" s="47"/>
    </row>
    <row r="8" spans="1:13" ht="60.6" customHeight="1" x14ac:dyDescent="0.25">
      <c r="B8" s="1" t="s">
        <v>85</v>
      </c>
      <c r="C8" s="110" t="s">
        <v>154</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45.75" thickBot="1" x14ac:dyDescent="0.3">
      <c r="B11" s="5" t="s">
        <v>88</v>
      </c>
      <c r="C11" s="96" t="s">
        <v>155</v>
      </c>
      <c r="D11" s="11"/>
      <c r="E11" s="87"/>
      <c r="F11" s="87"/>
      <c r="G11" s="88">
        <v>0</v>
      </c>
      <c r="H11" s="88">
        <v>18.739999999999998</v>
      </c>
      <c r="I11" s="88">
        <v>56.22</v>
      </c>
      <c r="J11" s="88">
        <v>56.22</v>
      </c>
      <c r="K11" s="88">
        <v>93.7</v>
      </c>
      <c r="L11" s="61">
        <f>K11</f>
        <v>93.7</v>
      </c>
    </row>
    <row r="12" spans="1:13" x14ac:dyDescent="0.25">
      <c r="B12" s="1" t="s">
        <v>10</v>
      </c>
      <c r="C12" s="10" t="s">
        <v>11</v>
      </c>
      <c r="D12" s="24">
        <f>SUM(E12:K12)</f>
        <v>41179125.975000001</v>
      </c>
      <c r="E12" s="15">
        <v>0</v>
      </c>
      <c r="F12" s="15">
        <v>0</v>
      </c>
      <c r="G12" s="15">
        <v>3224271.375</v>
      </c>
      <c r="H12" s="15">
        <v>2505229.35</v>
      </c>
      <c r="I12" s="15">
        <v>14913021.825000001</v>
      </c>
      <c r="J12" s="15">
        <v>17742809.175000001</v>
      </c>
      <c r="K12" s="15">
        <v>2793794.25</v>
      </c>
    </row>
    <row r="13" spans="1:13" x14ac:dyDescent="0.25">
      <c r="B13" s="1" t="s">
        <v>13</v>
      </c>
      <c r="C13" s="10" t="s">
        <v>11</v>
      </c>
      <c r="D13" s="24">
        <f>SUM(E13:K13)</f>
        <v>406920.54794520541</v>
      </c>
      <c r="E13" s="15">
        <v>0</v>
      </c>
      <c r="F13" s="15">
        <v>0</v>
      </c>
      <c r="G13" s="15">
        <v>0</v>
      </c>
      <c r="H13" s="15">
        <v>0</v>
      </c>
      <c r="I13" s="15">
        <v>0</v>
      </c>
      <c r="J13" s="15">
        <v>0</v>
      </c>
      <c r="K13" s="15">
        <v>406920.54794520541</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£/Ml/d (weighted milestones)</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1</v>
      </c>
    </row>
    <row r="23" spans="1:10" x14ac:dyDescent="0.25">
      <c r="B23" s="1" t="s">
        <v>31</v>
      </c>
      <c r="C23" s="10" t="s">
        <v>16</v>
      </c>
      <c r="D23" s="20">
        <v>0</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£/Ml/d (weighted milestones)</v>
      </c>
      <c r="D27" s="106">
        <f>MAX(0,(D12+D13)/L11*D16-D18)</f>
        <v>221910.60044261051</v>
      </c>
      <c r="E27" s="24">
        <f>$D27*$D$21</f>
        <v>0</v>
      </c>
      <c r="F27" s="24">
        <f>$D27*$D$22</f>
        <v>221910.60044261051</v>
      </c>
      <c r="G27" s="24">
        <f>$D27*$D$23</f>
        <v>0</v>
      </c>
      <c r="H27" s="24">
        <f>$D27*$D$24*$D$17</f>
        <v>0</v>
      </c>
      <c r="I27" s="1"/>
      <c r="J27" s="1"/>
    </row>
    <row r="28" spans="1:10" x14ac:dyDescent="0.25">
      <c r="B28" s="1" t="s">
        <v>43</v>
      </c>
      <c r="C28" s="25" t="str">
        <f t="shared" si="0"/>
        <v>£/Ml/d (weighted milestones)</v>
      </c>
      <c r="D28" s="106">
        <f>D27*D14</f>
        <v>7167.7123942963199</v>
      </c>
      <c r="E28" s="24">
        <f t="shared" ref="E28:E29" si="1">$D28*$D$21</f>
        <v>0</v>
      </c>
      <c r="F28" s="24">
        <f t="shared" ref="F28:F29" si="2">$D28*$D$22</f>
        <v>7167.7123942963199</v>
      </c>
      <c r="G28" s="24">
        <f t="shared" ref="G28:G29" si="3">$D28*$D$23</f>
        <v>0</v>
      </c>
      <c r="H28" s="24">
        <f>$D28*$D$24*$D$17</f>
        <v>0</v>
      </c>
      <c r="I28" s="1"/>
      <c r="J28" s="1"/>
    </row>
    <row r="29" spans="1:10" x14ac:dyDescent="0.25">
      <c r="B29" s="1" t="s">
        <v>45</v>
      </c>
      <c r="C29" s="25" t="str">
        <f t="shared" si="0"/>
        <v>£/Ml/d (weighted milestones)</v>
      </c>
      <c r="D29" s="106">
        <f>MAX(0,((D12+D13)/L11)*D16*D15+D13*D16/SUM(E11:K11)-D18)+D28</f>
        <v>15839.333827666571</v>
      </c>
      <c r="E29" s="24">
        <f t="shared" si="1"/>
        <v>0</v>
      </c>
      <c r="F29" s="24">
        <f t="shared" si="2"/>
        <v>15839.333827666571</v>
      </c>
      <c r="G29" s="24">
        <f t="shared" si="3"/>
        <v>0</v>
      </c>
      <c r="H29" s="24">
        <f>$D29*$D$24*$D$17</f>
        <v>0</v>
      </c>
      <c r="I29" s="1"/>
      <c r="J29" s="1"/>
    </row>
    <row r="32" spans="1:10" x14ac:dyDescent="0.25">
      <c r="A32" s="5" t="s">
        <v>92</v>
      </c>
    </row>
    <row r="33" spans="1:12" x14ac:dyDescent="0.25">
      <c r="B33" s="1" t="s">
        <v>93</v>
      </c>
      <c r="E33" s="15"/>
      <c r="F33" s="15"/>
      <c r="G33" s="28">
        <v>0</v>
      </c>
      <c r="H33" s="28">
        <v>18.739999999999998</v>
      </c>
      <c r="I33" s="28">
        <v>56.22</v>
      </c>
      <c r="J33" s="28">
        <v>56.22</v>
      </c>
      <c r="K33" s="28">
        <v>93.7</v>
      </c>
      <c r="L33" s="28">
        <v>93.7</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row r="45" spans="1:12" ht="15.75" thickBot="1" x14ac:dyDescent="0.3">
      <c r="B45" s="1" t="s">
        <v>120</v>
      </c>
    </row>
    <row r="46" spans="1:12" ht="57.75" thickBot="1" x14ac:dyDescent="0.3">
      <c r="B46" s="35" t="s">
        <v>156</v>
      </c>
      <c r="C46" s="35" t="s">
        <v>157</v>
      </c>
    </row>
    <row r="47" spans="1:12" ht="16.5" thickTop="1" thickBot="1" x14ac:dyDescent="0.3">
      <c r="B47" s="36" t="s">
        <v>158</v>
      </c>
      <c r="C47" s="36">
        <v>5</v>
      </c>
    </row>
    <row r="48" spans="1:12" ht="15.75" thickBot="1" x14ac:dyDescent="0.3">
      <c r="B48" s="37" t="s">
        <v>159</v>
      </c>
      <c r="C48" s="37">
        <v>36</v>
      </c>
    </row>
    <row r="49" spans="1:8" ht="15.75" thickBot="1" x14ac:dyDescent="0.3">
      <c r="B49" s="38" t="s">
        <v>160</v>
      </c>
      <c r="C49" s="38">
        <v>40</v>
      </c>
    </row>
    <row r="50" spans="1:8" ht="15.75" thickBot="1" x14ac:dyDescent="0.3">
      <c r="B50" s="37" t="s">
        <v>161</v>
      </c>
      <c r="C50" s="37">
        <v>6.5</v>
      </c>
    </row>
    <row r="51" spans="1:8" ht="15.75" thickBot="1" x14ac:dyDescent="0.3">
      <c r="B51" s="38" t="s">
        <v>162</v>
      </c>
      <c r="C51" s="38">
        <v>6.2</v>
      </c>
    </row>
    <row r="52" spans="1:8" x14ac:dyDescent="0.25">
      <c r="A52" s="10"/>
      <c r="B52" s="10"/>
    </row>
    <row r="53" spans="1:8" ht="15.75" thickBot="1" x14ac:dyDescent="0.3">
      <c r="B53" s="1" t="s">
        <v>138</v>
      </c>
    </row>
    <row r="54" spans="1:8" ht="29.25" thickBot="1" x14ac:dyDescent="0.3">
      <c r="B54" s="35" t="s">
        <v>163</v>
      </c>
      <c r="C54" s="35" t="s">
        <v>164</v>
      </c>
      <c r="D54" s="35" t="s">
        <v>165</v>
      </c>
      <c r="E54" s="35" t="s">
        <v>166</v>
      </c>
      <c r="F54" s="35" t="s">
        <v>167</v>
      </c>
      <c r="G54" s="35" t="s">
        <v>168</v>
      </c>
    </row>
    <row r="55" spans="1:8" ht="16.5" thickTop="1" thickBot="1" x14ac:dyDescent="0.3">
      <c r="B55" s="36" t="s">
        <v>169</v>
      </c>
      <c r="C55" s="39">
        <v>46363</v>
      </c>
      <c r="D55" s="39">
        <v>46391</v>
      </c>
      <c r="E55" s="39">
        <v>46363</v>
      </c>
      <c r="F55" s="39">
        <v>46363</v>
      </c>
      <c r="G55" s="39">
        <v>46363</v>
      </c>
    </row>
    <row r="56" spans="1:8" ht="15.75" thickBot="1" x14ac:dyDescent="0.3">
      <c r="B56" s="37" t="s">
        <v>170</v>
      </c>
      <c r="C56" s="40">
        <v>46616</v>
      </c>
      <c r="D56" s="40">
        <v>46644</v>
      </c>
      <c r="E56" s="40">
        <v>46616</v>
      </c>
      <c r="F56" s="40">
        <v>46616</v>
      </c>
      <c r="G56" s="40">
        <v>46616</v>
      </c>
    </row>
    <row r="57" spans="1:8" ht="15.75" thickBot="1" x14ac:dyDescent="0.3">
      <c r="B57" s="38" t="s">
        <v>171</v>
      </c>
      <c r="C57" s="41">
        <v>47371</v>
      </c>
      <c r="D57" s="41">
        <v>47455</v>
      </c>
      <c r="E57" s="41">
        <v>47371</v>
      </c>
      <c r="F57" s="41">
        <v>47371</v>
      </c>
      <c r="G57" s="41">
        <v>47371</v>
      </c>
    </row>
    <row r="58" spans="1:8" ht="15.75" thickBot="1" x14ac:dyDescent="0.3">
      <c r="B58" s="37" t="s">
        <v>172</v>
      </c>
      <c r="C58" s="40">
        <v>47735</v>
      </c>
      <c r="D58" s="40">
        <v>47819</v>
      </c>
      <c r="E58" s="40">
        <v>47735</v>
      </c>
      <c r="F58" s="40">
        <v>47735</v>
      </c>
      <c r="G58" s="40">
        <v>47735</v>
      </c>
    </row>
    <row r="60" spans="1:8" ht="15.75" thickBot="1" x14ac:dyDescent="0.3">
      <c r="B60" s="1" t="s">
        <v>173</v>
      </c>
    </row>
    <row r="61" spans="1:8" ht="15.75" thickBot="1" x14ac:dyDescent="0.3">
      <c r="B61" s="112" t="s">
        <v>139</v>
      </c>
      <c r="C61" s="114" t="s">
        <v>87</v>
      </c>
      <c r="D61" s="116" t="s">
        <v>140</v>
      </c>
      <c r="E61" s="117"/>
      <c r="F61" s="117"/>
      <c r="G61" s="117"/>
      <c r="H61" s="118"/>
    </row>
    <row r="62" spans="1:8" ht="16.5" thickTop="1" thickBot="1" x14ac:dyDescent="0.3">
      <c r="B62" s="113"/>
      <c r="C62" s="115"/>
      <c r="D62" s="42" t="s">
        <v>141</v>
      </c>
      <c r="E62" s="43" t="s">
        <v>142</v>
      </c>
      <c r="F62" s="43" t="s">
        <v>143</v>
      </c>
      <c r="G62" s="43" t="s">
        <v>144</v>
      </c>
      <c r="H62" s="43" t="s">
        <v>145</v>
      </c>
    </row>
    <row r="63" spans="1:8" ht="16.5" thickTop="1" thickBot="1" x14ac:dyDescent="0.3">
      <c r="B63" s="44" t="s">
        <v>146</v>
      </c>
      <c r="C63" s="44" t="s">
        <v>174</v>
      </c>
      <c r="D63" s="45">
        <v>0</v>
      </c>
      <c r="E63" s="45">
        <v>18.739999999999998</v>
      </c>
      <c r="F63" s="45">
        <v>18.739999999999998</v>
      </c>
      <c r="G63" s="45">
        <v>18.739999999999998</v>
      </c>
      <c r="H63" s="45">
        <v>18.739999999999998</v>
      </c>
    </row>
    <row r="64" spans="1:8" ht="15.75" thickBot="1" x14ac:dyDescent="0.3">
      <c r="B64" s="38" t="s">
        <v>147</v>
      </c>
      <c r="C64" s="38" t="s">
        <v>174</v>
      </c>
      <c r="D64" s="46">
        <v>0</v>
      </c>
      <c r="E64" s="46">
        <v>0</v>
      </c>
      <c r="F64" s="46">
        <v>37.479999999999997</v>
      </c>
      <c r="G64" s="46">
        <v>37.479999999999997</v>
      </c>
      <c r="H64" s="46">
        <v>37.479999999999997</v>
      </c>
    </row>
    <row r="65" spans="2:8" ht="15.75" thickBot="1" x14ac:dyDescent="0.3">
      <c r="B65" s="37" t="s">
        <v>148</v>
      </c>
      <c r="C65" s="37" t="s">
        <v>174</v>
      </c>
      <c r="D65" s="45">
        <v>0</v>
      </c>
      <c r="E65" s="45">
        <v>0</v>
      </c>
      <c r="F65" s="45">
        <v>0</v>
      </c>
      <c r="G65" s="45">
        <v>0</v>
      </c>
      <c r="H65" s="45">
        <v>37.479999999999997</v>
      </c>
    </row>
    <row r="66" spans="2:8" ht="15.75" thickBot="1" x14ac:dyDescent="0.3">
      <c r="B66" s="38" t="s">
        <v>149</v>
      </c>
      <c r="C66" s="38" t="s">
        <v>174</v>
      </c>
      <c r="D66" s="46">
        <f>SUM(D63:D65)</f>
        <v>0</v>
      </c>
      <c r="E66" s="46">
        <f t="shared" ref="E66:H66" si="10">SUM(E63:E65)</f>
        <v>18.739999999999998</v>
      </c>
      <c r="F66" s="46">
        <f t="shared" si="10"/>
        <v>56.22</v>
      </c>
      <c r="G66" s="46">
        <f t="shared" si="10"/>
        <v>56.22</v>
      </c>
      <c r="H66" s="46">
        <f t="shared" si="10"/>
        <v>93.699999999999989</v>
      </c>
    </row>
  </sheetData>
  <mergeCells count="8">
    <mergeCell ref="B61:B62"/>
    <mergeCell ref="C61:C62"/>
    <mergeCell ref="D61:H61"/>
    <mergeCell ref="C4:L4"/>
    <mergeCell ref="C5:L5"/>
    <mergeCell ref="C6:L6"/>
    <mergeCell ref="C7:L7"/>
    <mergeCell ref="C8:L8"/>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zoomScale="112" zoomScaleNormal="112" workbookViewId="0">
      <pane xSplit="2" ySplit="1" topLeftCell="C2" activePane="bottomRight" state="frozen"/>
      <selection pane="topRight" activeCell="I44" sqref="I44"/>
      <selection pane="bottomLeft" activeCell="I44" sqref="I44"/>
      <selection pane="bottomRight" activeCell="C2" sqref="C2"/>
    </sheetView>
  </sheetViews>
  <sheetFormatPr defaultColWidth="8.85546875" defaultRowHeight="15" x14ac:dyDescent="0.25"/>
  <cols>
    <col min="1" max="1" width="2.5703125" style="5" customWidth="1"/>
    <col min="2" max="2" width="30.42578125" style="1" customWidth="1"/>
    <col min="3" max="3" width="12.85546875" style="10" customWidth="1"/>
    <col min="4" max="4" width="12.5703125" style="10" bestFit="1" customWidth="1"/>
    <col min="5" max="6" width="11.85546875" style="14" customWidth="1"/>
    <col min="7" max="11" width="13.42578125" style="14" customWidth="1"/>
    <col min="12" max="12" width="10.5703125" style="14" bestFit="1" customWidth="1"/>
    <col min="13" max="13" width="1.5703125" style="1" customWidth="1"/>
    <col min="14" max="14" width="13.5703125" style="1" bestFit="1" customWidth="1"/>
    <col min="15" max="15" width="11.5703125" style="1" bestFit="1" customWidth="1"/>
    <col min="16" max="16384" width="8.85546875" style="1"/>
  </cols>
  <sheetData>
    <row r="1" spans="1:13" ht="18.75" x14ac:dyDescent="0.25">
      <c r="A1" s="2" t="s">
        <v>175</v>
      </c>
    </row>
    <row r="3" spans="1:13" x14ac:dyDescent="0.25">
      <c r="A3" s="5" t="s">
        <v>76</v>
      </c>
    </row>
    <row r="4" spans="1:13" ht="33.6" customHeight="1" x14ac:dyDescent="0.25">
      <c r="B4" s="1" t="s">
        <v>77</v>
      </c>
      <c r="C4" s="110" t="s">
        <v>176</v>
      </c>
      <c r="D4" s="110"/>
      <c r="E4" s="110"/>
      <c r="F4" s="110"/>
      <c r="G4" s="110"/>
      <c r="H4" s="110"/>
      <c r="I4" s="110"/>
      <c r="J4" s="110"/>
      <c r="K4" s="110"/>
      <c r="L4" s="110"/>
    </row>
    <row r="5" spans="1:13" ht="56.45" customHeight="1" x14ac:dyDescent="0.25">
      <c r="B5" s="1" t="s">
        <v>79</v>
      </c>
      <c r="C5" s="110" t="s">
        <v>177</v>
      </c>
      <c r="D5" s="110"/>
      <c r="E5" s="110"/>
      <c r="F5" s="110"/>
      <c r="G5" s="110"/>
      <c r="H5" s="110"/>
      <c r="I5" s="110"/>
      <c r="J5" s="110"/>
      <c r="K5" s="110"/>
      <c r="L5" s="110"/>
    </row>
    <row r="6" spans="1:13" ht="40.35" customHeight="1" x14ac:dyDescent="0.25">
      <c r="B6" s="1" t="s">
        <v>81</v>
      </c>
      <c r="C6" s="110" t="s">
        <v>178</v>
      </c>
      <c r="D6" s="110"/>
      <c r="E6" s="110"/>
      <c r="F6" s="110"/>
      <c r="G6" s="110"/>
      <c r="H6" s="110"/>
      <c r="I6" s="110"/>
      <c r="J6" s="110"/>
      <c r="K6" s="110"/>
      <c r="L6" s="110"/>
    </row>
    <row r="7" spans="1:13" ht="54" customHeight="1" x14ac:dyDescent="0.25">
      <c r="B7" s="1" t="s">
        <v>83</v>
      </c>
      <c r="C7" s="119" t="s">
        <v>179</v>
      </c>
      <c r="D7" s="119"/>
      <c r="E7" s="119"/>
      <c r="F7" s="119"/>
      <c r="G7" s="119"/>
      <c r="H7" s="119"/>
      <c r="I7" s="119"/>
      <c r="J7" s="119"/>
      <c r="K7" s="119"/>
      <c r="L7" s="119"/>
    </row>
    <row r="8" spans="1:13" ht="22.35" customHeight="1" x14ac:dyDescent="0.25">
      <c r="B8" s="1" t="s">
        <v>85</v>
      </c>
      <c r="C8" s="110" t="s">
        <v>180</v>
      </c>
      <c r="D8" s="110"/>
      <c r="E8" s="110"/>
      <c r="F8" s="110"/>
      <c r="G8" s="110"/>
      <c r="H8" s="110"/>
      <c r="I8" s="110"/>
      <c r="J8" s="110"/>
      <c r="K8" s="110"/>
      <c r="L8" s="110"/>
    </row>
    <row r="9" spans="1:13" ht="15.75" thickBot="1" x14ac:dyDescent="0.3">
      <c r="G9" s="21"/>
      <c r="H9" s="21"/>
      <c r="I9" s="21"/>
      <c r="J9" s="21"/>
      <c r="K9" s="21"/>
    </row>
    <row r="10" spans="1:13" ht="30" x14ac:dyDescent="0.25">
      <c r="A10" s="5" t="s">
        <v>86</v>
      </c>
      <c r="C10" s="11" t="s">
        <v>87</v>
      </c>
      <c r="D10" s="11" t="s">
        <v>3</v>
      </c>
      <c r="E10" s="18">
        <v>2024</v>
      </c>
      <c r="F10" s="18">
        <v>2025</v>
      </c>
      <c r="G10" s="18">
        <v>2026</v>
      </c>
      <c r="H10" s="18">
        <f>G10+1</f>
        <v>2027</v>
      </c>
      <c r="I10" s="18">
        <f>H10+1</f>
        <v>2028</v>
      </c>
      <c r="J10" s="18">
        <f>I10+1</f>
        <v>2029</v>
      </c>
      <c r="K10" s="18">
        <f>J10+1</f>
        <v>2030</v>
      </c>
      <c r="L10" s="33" t="s">
        <v>4</v>
      </c>
      <c r="M10" s="5"/>
    </row>
    <row r="11" spans="1:13" s="5" customFormat="1" ht="15.75" thickBot="1" x14ac:dyDescent="0.3">
      <c r="B11" s="5" t="s">
        <v>88</v>
      </c>
      <c r="C11" s="84" t="s">
        <v>181</v>
      </c>
      <c r="D11" s="11"/>
      <c r="E11" s="88">
        <v>0</v>
      </c>
      <c r="F11" s="88">
        <v>0</v>
      </c>
      <c r="G11" s="88">
        <v>9.84</v>
      </c>
      <c r="H11" s="88">
        <v>32.799999999999997</v>
      </c>
      <c r="I11" s="88">
        <v>55.76</v>
      </c>
      <c r="J11" s="88">
        <v>65.599999999999994</v>
      </c>
      <c r="K11" s="88">
        <v>65.599999999999994</v>
      </c>
      <c r="L11" s="58">
        <f>K11</f>
        <v>65.599999999999994</v>
      </c>
    </row>
    <row r="12" spans="1:13" x14ac:dyDescent="0.25">
      <c r="B12" s="1" t="s">
        <v>10</v>
      </c>
      <c r="C12" s="10" t="s">
        <v>11</v>
      </c>
      <c r="D12" s="24">
        <f>SUM(E12:K12)</f>
        <v>151128316.94999999</v>
      </c>
      <c r="E12" s="15">
        <v>0</v>
      </c>
      <c r="F12" s="15">
        <v>0</v>
      </c>
      <c r="G12" s="15">
        <v>41861401.725000001</v>
      </c>
      <c r="H12" s="15">
        <v>37710983.699999996</v>
      </c>
      <c r="I12" s="15">
        <v>57661014.449999996</v>
      </c>
      <c r="J12" s="15">
        <v>12392826.225</v>
      </c>
      <c r="K12" s="15">
        <v>1502090.8499999999</v>
      </c>
    </row>
    <row r="13" spans="1:13" x14ac:dyDescent="0.25">
      <c r="B13" s="1" t="s">
        <v>13</v>
      </c>
      <c r="C13" s="10" t="s">
        <v>11</v>
      </c>
      <c r="D13" s="24">
        <f>SUM(E13:K13)</f>
        <v>0</v>
      </c>
      <c r="E13" s="15">
        <v>0</v>
      </c>
      <c r="F13" s="15">
        <v>0</v>
      </c>
      <c r="G13" s="15">
        <v>0</v>
      </c>
      <c r="H13" s="15">
        <v>0</v>
      </c>
      <c r="I13" s="15">
        <v>0</v>
      </c>
      <c r="J13" s="15">
        <v>0</v>
      </c>
      <c r="K13" s="15">
        <v>0</v>
      </c>
    </row>
    <row r="14" spans="1:13" x14ac:dyDescent="0.25">
      <c r="B14" s="1" t="s">
        <v>15</v>
      </c>
      <c r="C14" s="10" t="s">
        <v>16</v>
      </c>
      <c r="D14" s="104">
        <v>3.2300000000000002E-2</v>
      </c>
    </row>
    <row r="15" spans="1:13" ht="30" x14ac:dyDescent="0.25">
      <c r="B15" s="4" t="s">
        <v>18</v>
      </c>
      <c r="C15" s="10" t="s">
        <v>16</v>
      </c>
      <c r="D15" s="104">
        <v>3.5000000000000003E-2</v>
      </c>
    </row>
    <row r="16" spans="1:13" x14ac:dyDescent="0.25">
      <c r="B16" s="1" t="s">
        <v>20</v>
      </c>
      <c r="C16" s="10" t="s">
        <v>16</v>
      </c>
      <c r="D16" s="104">
        <v>0.5</v>
      </c>
    </row>
    <row r="17" spans="1:10" x14ac:dyDescent="0.25">
      <c r="B17" s="1" t="s">
        <v>22</v>
      </c>
      <c r="C17" s="10" t="s">
        <v>16</v>
      </c>
      <c r="D17" s="104">
        <v>0.5</v>
      </c>
    </row>
    <row r="18" spans="1:10" x14ac:dyDescent="0.25">
      <c r="B18" s="1" t="s">
        <v>24</v>
      </c>
      <c r="C18" s="25" t="str">
        <f>"£/"&amp;$C$11</f>
        <v>£/km</v>
      </c>
      <c r="D18" s="23">
        <v>0</v>
      </c>
    </row>
    <row r="20" spans="1:10" x14ac:dyDescent="0.25">
      <c r="A20" s="5" t="s">
        <v>26</v>
      </c>
      <c r="B20" s="98" t="s">
        <v>90</v>
      </c>
      <c r="C20" s="99" t="s">
        <v>87</v>
      </c>
      <c r="D20" s="101" t="s">
        <v>91</v>
      </c>
    </row>
    <row r="21" spans="1:10" x14ac:dyDescent="0.25">
      <c r="B21" s="1" t="s">
        <v>27</v>
      </c>
      <c r="C21" s="10" t="s">
        <v>16</v>
      </c>
      <c r="D21" s="20">
        <v>0</v>
      </c>
    </row>
    <row r="22" spans="1:10" x14ac:dyDescent="0.25">
      <c r="B22" s="1" t="s">
        <v>29</v>
      </c>
      <c r="C22" s="10" t="s">
        <v>16</v>
      </c>
      <c r="D22" s="20">
        <v>1</v>
      </c>
    </row>
    <row r="23" spans="1:10" x14ac:dyDescent="0.25">
      <c r="B23" s="1" t="s">
        <v>31</v>
      </c>
      <c r="C23" s="10" t="s">
        <v>16</v>
      </c>
      <c r="D23" s="20">
        <v>0</v>
      </c>
    </row>
    <row r="24" spans="1:10" x14ac:dyDescent="0.25">
      <c r="B24" s="1" t="s">
        <v>33</v>
      </c>
      <c r="C24" s="10" t="s">
        <v>16</v>
      </c>
      <c r="D24" s="27">
        <f>1-SUM(D21:D23)</f>
        <v>0</v>
      </c>
    </row>
    <row r="26" spans="1:10" x14ac:dyDescent="0.25">
      <c r="A26" s="5" t="s">
        <v>35</v>
      </c>
      <c r="C26" s="99" t="s">
        <v>87</v>
      </c>
      <c r="D26" s="105" t="s">
        <v>36</v>
      </c>
      <c r="E26" s="22" t="s">
        <v>37</v>
      </c>
      <c r="F26" s="22" t="s">
        <v>38</v>
      </c>
      <c r="G26" s="22" t="s">
        <v>39</v>
      </c>
      <c r="H26" s="22" t="s">
        <v>40</v>
      </c>
      <c r="I26" s="1"/>
      <c r="J26" s="1"/>
    </row>
    <row r="27" spans="1:10" x14ac:dyDescent="0.25">
      <c r="B27" s="1" t="s">
        <v>41</v>
      </c>
      <c r="C27" s="25" t="str">
        <f t="shared" ref="C27:C29" si="0">"£/"&amp;$C$11</f>
        <v>£/km</v>
      </c>
      <c r="D27" s="106">
        <f>MAX(0,(D12+D13)/L11*D16-D18)</f>
        <v>1151892.659679878</v>
      </c>
      <c r="E27" s="24">
        <f>$D27*$D$21</f>
        <v>0</v>
      </c>
      <c r="F27" s="24">
        <f>$D27*$D$22</f>
        <v>1151892.659679878</v>
      </c>
      <c r="G27" s="24">
        <f>$D27*$D$23</f>
        <v>0</v>
      </c>
      <c r="H27" s="24">
        <f>$D27*$D$24*$D$17</f>
        <v>0</v>
      </c>
      <c r="I27" s="1"/>
      <c r="J27" s="1"/>
    </row>
    <row r="28" spans="1:10" x14ac:dyDescent="0.25">
      <c r="B28" s="1" t="s">
        <v>43</v>
      </c>
      <c r="C28" s="25" t="str">
        <f t="shared" si="0"/>
        <v>£/km</v>
      </c>
      <c r="D28" s="106">
        <f>D27*D14</f>
        <v>37206.132907660067</v>
      </c>
      <c r="E28" s="24">
        <f t="shared" ref="E28:E29" si="1">$D28*$D$21</f>
        <v>0</v>
      </c>
      <c r="F28" s="24">
        <f t="shared" ref="F28:F29" si="2">$D28*$D$22</f>
        <v>37206.132907660067</v>
      </c>
      <c r="G28" s="24">
        <f t="shared" ref="G28:G29" si="3">$D28*$D$23</f>
        <v>0</v>
      </c>
      <c r="H28" s="24">
        <f>$D28*$D$24*$D$17</f>
        <v>0</v>
      </c>
      <c r="I28" s="1"/>
      <c r="J28" s="1"/>
    </row>
    <row r="29" spans="1:10" x14ac:dyDescent="0.25">
      <c r="B29" s="1" t="s">
        <v>45</v>
      </c>
      <c r="C29" s="25" t="str">
        <f t="shared" si="0"/>
        <v>£/km</v>
      </c>
      <c r="D29" s="106">
        <f>MAX(0,((D12+D13)/L11)*D16*D15+D13*D16/SUM(E11:K11)-D18)+D28</f>
        <v>77522.375996455812</v>
      </c>
      <c r="E29" s="24">
        <f t="shared" si="1"/>
        <v>0</v>
      </c>
      <c r="F29" s="24">
        <f t="shared" si="2"/>
        <v>77522.375996455812</v>
      </c>
      <c r="G29" s="24">
        <f t="shared" si="3"/>
        <v>0</v>
      </c>
      <c r="H29" s="24">
        <f>$D29*$D$24*$D$17</f>
        <v>0</v>
      </c>
      <c r="I29" s="1"/>
      <c r="J29" s="1"/>
    </row>
    <row r="32" spans="1:10" x14ac:dyDescent="0.25">
      <c r="A32" s="5" t="s">
        <v>92</v>
      </c>
    </row>
    <row r="33" spans="1:12" x14ac:dyDescent="0.25">
      <c r="B33" s="1" t="s">
        <v>93</v>
      </c>
      <c r="E33" s="15"/>
      <c r="F33" s="15"/>
      <c r="G33" s="28">
        <v>9.84</v>
      </c>
      <c r="H33" s="28">
        <v>32.799999999999997</v>
      </c>
      <c r="I33" s="28">
        <v>55.76</v>
      </c>
      <c r="J33" s="28">
        <v>65.599999999999994</v>
      </c>
      <c r="K33" s="28">
        <v>65.599999999999994</v>
      </c>
      <c r="L33" s="28">
        <v>65.599999999999994</v>
      </c>
    </row>
    <row r="34" spans="1:12" x14ac:dyDescent="0.25">
      <c r="B34" s="1" t="s">
        <v>41</v>
      </c>
      <c r="E34" s="16"/>
      <c r="F34" s="16"/>
      <c r="G34" s="16"/>
      <c r="H34" s="16"/>
      <c r="I34" s="16"/>
      <c r="J34" s="16"/>
      <c r="K34" s="16"/>
      <c r="L34" s="14">
        <f>MAX(0,$L$11-L33)</f>
        <v>0</v>
      </c>
    </row>
    <row r="35" spans="1:12" x14ac:dyDescent="0.25">
      <c r="B35" s="1" t="s">
        <v>43</v>
      </c>
      <c r="E35" s="14">
        <f t="shared" ref="E35:H35" si="4">MAX(0,MIN(E$11-E33,$L$11-$L33))</f>
        <v>0</v>
      </c>
      <c r="F35" s="14">
        <f t="shared" si="4"/>
        <v>0</v>
      </c>
      <c r="G35" s="14">
        <f t="shared" si="4"/>
        <v>0</v>
      </c>
      <c r="H35" s="14">
        <f t="shared" si="4"/>
        <v>0</v>
      </c>
      <c r="I35" s="14">
        <f>MAX(0,MIN(I$11-I33,$L$11-$L33))</f>
        <v>0</v>
      </c>
      <c r="J35" s="14">
        <f t="shared" ref="J35:K35" si="5">MAX(0,MIN(J$11-J33,$L$11-$L33))</f>
        <v>0</v>
      </c>
      <c r="K35" s="14">
        <f t="shared" si="5"/>
        <v>0</v>
      </c>
      <c r="L35" s="16"/>
    </row>
    <row r="36" spans="1:12" x14ac:dyDescent="0.25">
      <c r="B36" s="1" t="s">
        <v>45</v>
      </c>
      <c r="E36" s="14">
        <f>MAX(0,E$11-E33-($L$11-IF($L33&gt;$L$11,$L$11,$L33)))</f>
        <v>0</v>
      </c>
      <c r="F36" s="14">
        <f t="shared" ref="F36:K36" si="6">MAX(0,F$11-F33-($L$11-IF($L33&gt;$L$11,$L$11,$L33)))</f>
        <v>0</v>
      </c>
      <c r="G36" s="14">
        <f t="shared" si="6"/>
        <v>0</v>
      </c>
      <c r="H36" s="14">
        <f t="shared" si="6"/>
        <v>0</v>
      </c>
      <c r="I36" s="14">
        <f t="shared" si="6"/>
        <v>0</v>
      </c>
      <c r="J36" s="14">
        <f t="shared" si="6"/>
        <v>0</v>
      </c>
      <c r="K36" s="14">
        <f t="shared" si="6"/>
        <v>0</v>
      </c>
      <c r="L36" s="16"/>
    </row>
    <row r="37" spans="1:12" ht="15.75" thickBot="1" x14ac:dyDescent="0.3">
      <c r="B37" s="8" t="s">
        <v>5</v>
      </c>
      <c r="C37" s="12"/>
      <c r="D37" s="12"/>
      <c r="E37" s="17"/>
      <c r="F37" s="17"/>
      <c r="G37" s="17"/>
      <c r="H37" s="17"/>
      <c r="I37" s="17"/>
      <c r="J37" s="17"/>
      <c r="K37" s="17"/>
      <c r="L37" s="17"/>
    </row>
    <row r="38" spans="1:12" ht="15.75" thickTop="1" x14ac:dyDescent="0.25"/>
    <row r="39" spans="1:12" x14ac:dyDescent="0.25">
      <c r="A39" s="5" t="s">
        <v>94</v>
      </c>
      <c r="D39" s="22" t="s">
        <v>37</v>
      </c>
      <c r="E39" s="22" t="s">
        <v>38</v>
      </c>
      <c r="F39" s="22" t="s">
        <v>39</v>
      </c>
      <c r="G39" s="22" t="s">
        <v>40</v>
      </c>
      <c r="H39" s="22" t="s">
        <v>95</v>
      </c>
    </row>
    <row r="40" spans="1:12" x14ac:dyDescent="0.25">
      <c r="B40" s="1" t="s">
        <v>41</v>
      </c>
      <c r="D40" s="3">
        <f t="shared" ref="D40:G42" si="7">SUM($E34:$L34)*E27</f>
        <v>0</v>
      </c>
      <c r="E40" s="3">
        <f t="shared" si="7"/>
        <v>0</v>
      </c>
      <c r="F40" s="3">
        <f t="shared" si="7"/>
        <v>0</v>
      </c>
      <c r="G40" s="3">
        <f t="shared" si="7"/>
        <v>0</v>
      </c>
      <c r="H40" s="6">
        <f>SUM(D40:G40)</f>
        <v>0</v>
      </c>
    </row>
    <row r="41" spans="1:12" x14ac:dyDescent="0.25">
      <c r="B41" s="1" t="s">
        <v>43</v>
      </c>
      <c r="D41" s="3">
        <f t="shared" si="7"/>
        <v>0</v>
      </c>
      <c r="E41" s="3">
        <f t="shared" si="7"/>
        <v>0</v>
      </c>
      <c r="F41" s="3">
        <f t="shared" si="7"/>
        <v>0</v>
      </c>
      <c r="G41" s="3">
        <f t="shared" si="7"/>
        <v>0</v>
      </c>
      <c r="H41" s="6">
        <f t="shared" ref="H41:H42" si="8">SUM(D41:G41)</f>
        <v>0</v>
      </c>
    </row>
    <row r="42" spans="1:12" x14ac:dyDescent="0.25">
      <c r="B42" s="1" t="s">
        <v>45</v>
      </c>
      <c r="D42" s="3">
        <f t="shared" si="7"/>
        <v>0</v>
      </c>
      <c r="E42" s="3">
        <f t="shared" si="7"/>
        <v>0</v>
      </c>
      <c r="F42" s="3">
        <f t="shared" si="7"/>
        <v>0</v>
      </c>
      <c r="G42" s="3">
        <f t="shared" si="7"/>
        <v>0</v>
      </c>
      <c r="H42" s="6">
        <f t="shared" si="8"/>
        <v>0</v>
      </c>
    </row>
    <row r="43" spans="1:12" ht="15.75" thickBot="1" x14ac:dyDescent="0.3">
      <c r="B43" s="29" t="s">
        <v>5</v>
      </c>
      <c r="C43" s="29"/>
      <c r="D43" s="9">
        <f>SUM(D40:D42)</f>
        <v>0</v>
      </c>
      <c r="E43" s="9">
        <f t="shared" ref="E43:H43" si="9">SUM(E40:E42)</f>
        <v>0</v>
      </c>
      <c r="F43" s="9">
        <f t="shared" si="9"/>
        <v>0</v>
      </c>
      <c r="G43" s="9">
        <f t="shared" si="9"/>
        <v>0</v>
      </c>
      <c r="H43" s="9">
        <f t="shared" si="9"/>
        <v>0</v>
      </c>
    </row>
    <row r="44" spans="1:12" ht="15.75" thickTop="1" x14ac:dyDescent="0.25"/>
  </sheetData>
  <mergeCells count="5">
    <mergeCell ref="C4:L4"/>
    <mergeCell ref="C5:L5"/>
    <mergeCell ref="C6:L6"/>
    <mergeCell ref="C7:L7"/>
    <mergeCell ref="C8:L8"/>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7F2044F2FDDA4D9E081FF75E1D2EFD" ma:contentTypeVersion="2" ma:contentTypeDescription="Create a new document." ma:contentTypeScope="" ma:versionID="ac6b41b13dc93a6628a397e8b7958294">
  <xsd:schema xmlns:xsd="http://www.w3.org/2001/XMLSchema" xmlns:xs="http://www.w3.org/2001/XMLSchema" xmlns:p="http://schemas.microsoft.com/office/2006/metadata/properties" xmlns:ns2="95360981-546e-4f39-af6b-5758d549268d" xmlns:ns3="298fce07-cc41-47ba-9852-79d4741d38fd" targetNamespace="http://schemas.microsoft.com/office/2006/metadata/properties" ma:root="true" ma:fieldsID="a534dcd7811248ccc9f383e686057f24" ns2:_="" ns3:_="">
    <xsd:import namespace="95360981-546e-4f39-af6b-5758d549268d"/>
    <xsd:import namespace="298fce07-cc41-47ba-9852-79d4741d38fd"/>
    <xsd:element name="properties">
      <xsd:complexType>
        <xsd:sequence>
          <xsd:element name="documentManagement">
            <xsd:complexType>
              <xsd:all>
                <xsd:element ref="ns2:_dlc_DocId" minOccurs="0"/>
                <xsd:element ref="ns2:_dlc_DocIdUrl" minOccurs="0"/>
                <xsd:element ref="ns2:_dlc_DocIdPersistId" minOccurs="0"/>
                <xsd:element ref="ns2:Classification"/>
                <xsd:element ref="ns2:Classificationexpirationdate" minOccurs="0"/>
                <xsd:element ref="ns2:SharedWithUsers" minOccurs="0"/>
                <xsd:element ref="ns3:mkw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60981-546e-4f39-af6b-5758d549268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lassification" ma:index="11" ma:displayName="Classification" ma:default="Internal Use" ma:internalName="Classification">
      <xsd:simpleType>
        <xsd:restriction base="dms:Choice">
          <xsd:enumeration value="Internal Use"/>
          <xsd:enumeration value="Public"/>
          <xsd:enumeration value="UU Confidential"/>
        </xsd:restriction>
      </xsd:simpleType>
    </xsd:element>
    <xsd:element name="Classificationexpirationdate" ma:index="12" nillable="true" ma:displayName="Classification expiration date" ma:internalName="Classificationexpirationdate">
      <xsd:simpleType>
        <xsd:restriction base="dms:DateTime"/>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98fce07-cc41-47ba-9852-79d4741d38fd" elementFormDefault="qualified">
    <xsd:import namespace="http://schemas.microsoft.com/office/2006/documentManagement/types"/>
    <xsd:import namespace="http://schemas.microsoft.com/office/infopath/2007/PartnerControls"/>
    <xsd:element name="mkwi" ma:index="14" nillable="true" ma:displayName="Text" ma:internalName="mkwi">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assificationexpirationdate xmlns="95360981-546e-4f39-af6b-5758d549268d" xsi:nil="true"/>
    <Classification xmlns="95360981-546e-4f39-af6b-5758d549268d">Internal Use</Classification>
    <_dlc_DocId xmlns="95360981-546e-4f39-af6b-5758d549268d">4F5WJJKREEPS-1585905177-749</_dlc_DocId>
    <_dlc_DocIdUrl xmlns="95360981-546e-4f39-af6b-5758d549268d">
      <Url>https://uusp/uu/PR24/_layouts/15/DocIdRedir.aspx?ID=4F5WJJKREEPS-1585905177-749</Url>
      <Description>4F5WJJKREEPS-1585905177-749</Description>
    </_dlc_DocIdUrl>
    <mkwi xmlns="298fce07-cc41-47ba-9852-79d4741d38fd" xsi:nil="true"/>
    <SharedWithUsers xmlns="95360981-546e-4f39-af6b-5758d549268d">
      <UserInfo>
        <DisplayName>Pedder, Daniel</DisplayName>
        <AccountId>646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3FAF7E-389C-4650-AD86-AA257AE53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60981-546e-4f39-af6b-5758d549268d"/>
    <ds:schemaRef ds:uri="298fce07-cc41-47ba-9852-79d4741d3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9F2D9F-AB68-446E-A7B8-B332BBFE39AE}">
  <ds:schemaRefs>
    <ds:schemaRef ds:uri="http://schemas.microsoft.com/office/infopath/2007/PartnerControls"/>
    <ds:schemaRef ds:uri="95360981-546e-4f39-af6b-5758d549268d"/>
    <ds:schemaRef ds:uri="http://schemas.microsoft.com/office/2006/documentManagement/types"/>
    <ds:schemaRef ds:uri="298fce07-cc41-47ba-9852-79d4741d38fd"/>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179A3B58-A3F8-4111-AB19-F0A98D48B927}">
  <ds:schemaRefs>
    <ds:schemaRef ds:uri="http://schemas.microsoft.com/sharepoint/v3/contenttype/forms"/>
  </ds:schemaRefs>
</ds:datastoreItem>
</file>

<file path=customXml/itemProps4.xml><?xml version="1.0" encoding="utf-8"?>
<ds:datastoreItem xmlns:ds="http://schemas.openxmlformats.org/officeDocument/2006/customXml" ds:itemID="{340B1CA6-9E90-4890-B6CB-BC1F0CEF8F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Front page</vt:lpstr>
      <vt:lpstr>PCD template</vt:lpstr>
      <vt:lpstr>PCD reservoirs</vt:lpstr>
      <vt:lpstr>PCD Meters</vt:lpstr>
      <vt:lpstr>PCD lead</vt:lpstr>
      <vt:lpstr>PCD leakage</vt:lpstr>
      <vt:lpstr>PCD Water WINEP Biodiversity</vt:lpstr>
      <vt:lpstr>PCD RWQ</vt:lpstr>
      <vt:lpstr>PCD Vyrnwy</vt:lpstr>
      <vt:lpstr>PCD WINEP Overflows</vt:lpstr>
      <vt:lpstr>PCD WINEP Overflow screens</vt:lpstr>
      <vt:lpstr>PCD Advanced WINEP</vt:lpstr>
      <vt:lpstr>PCD WINEP P</vt:lpstr>
      <vt:lpstr>PCD WINEP sanitary</vt:lpstr>
      <vt:lpstr>PCD WINEP Flow monitors</vt:lpstr>
      <vt:lpstr>PCD WINEP cont WQ monitors</vt:lpstr>
      <vt:lpstr>PCD WINEP MSC BOD DPC</vt:lpstr>
      <vt:lpstr>PCD WINEP D'hulme 6 BOD</vt:lpstr>
      <vt:lpstr>PCD WINEP Wigan&amp;Skem</vt:lpstr>
      <vt:lpstr>PCD Ww SD</vt:lpstr>
      <vt:lpstr>PCD rainwater mgmt</vt:lpstr>
      <vt:lpstr>PCD Bio WINEP</vt:lpstr>
      <vt:lpstr>PCD Bio screens</vt:lpstr>
      <vt:lpstr>PCD net zero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2023-10-02T02:23:55Z</dcterms:created>
  <dcterms:modified xsi:type="dcterms:W3CDTF">2024-02-09T09:15:30Z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0x010100667F2044F2FDDA4D9E081FF75E1D2EFD</vt:lpwstr>
  </property>
  <property fmtid="{D5CDD505-2E9C-101B-9397-08002B2CF9AE}" pid="3" name="_dlc_DocIdItemGuid">
    <vt:lpwstr>ec37cf6b-a63f-4c34-84af-f647262c5cb3</vt:lpwstr>
  </property>
  <property fmtid="{D5CDD505-2E9C-101B-9397-08002B2CF9AE}" pid="4" name="Executive Sponsor">
    <vt:lpwstr>James Bullock</vt:lpwstr>
  </property>
  <property fmtid="{D5CDD505-2E9C-101B-9397-08002B2CF9AE}" pid="5" name="Unique ID">
    <vt:lpwstr>UUW32</vt:lpwstr>
  </property>
  <property fmtid="{D5CDD505-2E9C-101B-9397-08002B2CF9AE}" pid="6" name="Insider List Content?">
    <vt:lpwstr>No</vt:lpwstr>
  </property>
  <property fmtid="{D5CDD505-2E9C-101B-9397-08002B2CF9AE}" pid="7" name="Formatting Complete?">
    <vt:lpwstr>Yes</vt:lpwstr>
  </property>
  <property fmtid="{D5CDD505-2E9C-101B-9397-08002B2CF9AE}" pid="8" name="Document Type">
    <vt:lpwstr>05. Data</vt:lpwstr>
  </property>
  <property fmtid="{D5CDD505-2E9C-101B-9397-08002B2CF9AE}" pid="9" name="Status">
    <vt:lpwstr>Ready for final QA</vt:lpwstr>
  </property>
  <property fmtid="{D5CDD505-2E9C-101B-9397-08002B2CF9AE}" pid="10" name="Data Validation Complete?">
    <vt:lpwstr>N/A</vt:lpwstr>
  </property>
  <property fmtid="{D5CDD505-2E9C-101B-9397-08002B2CF9AE}" pid="11" name="Executive Sponsor review">
    <vt:lpwstr>Yes</vt:lpwstr>
  </property>
  <property fmtid="{D5CDD505-2E9C-101B-9397-08002B2CF9AE}" pid="12" name="Author0">
    <vt:lpwstr>Jon Latore</vt:lpwstr>
  </property>
  <property fmtid="{D5CDD505-2E9C-101B-9397-08002B2CF9AE}" pid="13" name="James Bullock Review">
    <vt:lpwstr>No</vt:lpwstr>
  </property>
  <property fmtid="{D5CDD505-2E9C-101B-9397-08002B2CF9AE}" pid="14" name="MSIP_Label_23222fa2-703f-434b-9b29-15f41767c45e_Enabled">
    <vt:lpwstr>true</vt:lpwstr>
  </property>
  <property fmtid="{D5CDD505-2E9C-101B-9397-08002B2CF9AE}" pid="15" name="MSIP_Label_23222fa2-703f-434b-9b29-15f41767c45e_SetDate">
    <vt:lpwstr>2024-02-08T16:14:41Z</vt:lpwstr>
  </property>
  <property fmtid="{D5CDD505-2E9C-101B-9397-08002B2CF9AE}" pid="16" name="MSIP_Label_23222fa2-703f-434b-9b29-15f41767c45e_Method">
    <vt:lpwstr>Privileged</vt:lpwstr>
  </property>
  <property fmtid="{D5CDD505-2E9C-101B-9397-08002B2CF9AE}" pid="17" name="MSIP_Label_23222fa2-703f-434b-9b29-15f41767c45e_Name">
    <vt:lpwstr>Public</vt:lpwstr>
  </property>
  <property fmtid="{D5CDD505-2E9C-101B-9397-08002B2CF9AE}" pid="18" name="MSIP_Label_23222fa2-703f-434b-9b29-15f41767c45e_SiteId">
    <vt:lpwstr>fd84ea5f-acd2-4dfc-9b72-abb5d1685310</vt:lpwstr>
  </property>
  <property fmtid="{D5CDD505-2E9C-101B-9397-08002B2CF9AE}" pid="19" name="MSIP_Label_23222fa2-703f-434b-9b29-15f41767c45e_ActionId">
    <vt:lpwstr>5c2fa452-3a53-4049-8438-f491b7637dfa</vt:lpwstr>
  </property>
  <property fmtid="{D5CDD505-2E9C-101B-9397-08002B2CF9AE}" pid="20" name="MSIP_Label_23222fa2-703f-434b-9b29-15f41767c45e_ContentBits">
    <vt:lpwstr>0</vt:lpwstr>
  </property>
</Properties>
</file>